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codeName="ThisWorkbook" defaultThemeVersion="166925"/>
  <mc:AlternateContent xmlns:mc="http://schemas.openxmlformats.org/markup-compatibility/2006">
    <mc:Choice Requires="x15">
      <x15ac:absPath xmlns:x15ac="http://schemas.microsoft.com/office/spreadsheetml/2010/11/ac" url="d:\Users\Claudia Pinzon\Desktop\eKOGUI\"/>
    </mc:Choice>
  </mc:AlternateContent>
  <xr:revisionPtr revIDLastSave="0" documentId="13_ncr:1_{4DC6E18F-FE69-4C50-9187-BE7719DC8475}" xr6:coauthVersionLast="47" xr6:coauthVersionMax="47" xr10:uidLastSave="{00000000-0000-0000-0000-000000000000}"/>
  <bookViews>
    <workbookView xWindow="-120" yWindow="-120" windowWidth="20730" windowHeight="11040" tabRatio="777"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<sst xmlns="http://schemas.openxmlformats.org/spreadsheetml/2006/main" count="276" uniqueCount="202">
  <si>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</si>
  <si>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</si>
  <si>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</si>
  <si>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</si>
  <si>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</si>
  <si>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</si>
  <si>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</si>
  <si>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</si>
  <si>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</si>
  <si>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</si>
  <si>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</si>
  <si>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</si>
  <si>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</si>
  <si>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</si>
  <si>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</si>
  <si>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</si>
  <si>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</si>
  <si>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</si>
  <si>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</si>
  <si>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</si>
  <si>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</si>
  <si>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</si>
  <si>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</si>
  <si>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</si>
  <si>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</si>
  <si>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</si>
  <si>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</si>
  <si>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</si>
  <si>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</si>
  <si>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</si>
  <si>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</si>
  <si>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</si>
  <si>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</si>
  <si>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</si>
  <si>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</si>
  <si>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</si>
  <si>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</si>
  <si>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</si>
  <si>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</si>
  <si>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</si>
  <si>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</si>
  <si>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</si>
  <si>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</si>
  <si>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</si>
  <si>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</si>
  <si>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</si>
  <si>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</si>
  <si>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</si>
  <si>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</si>
  <si>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</si>
  <si>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</si>
  <si>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</si>
  <si>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</si>
  <si>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</si>
  <si>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</si>
  <si>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</si>
  <si>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</si>
  <si>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</si>
  <si>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</si>
  <si>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</si>
  <si>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</si>
  <si>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</si>
  <si>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</si>
  <si>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</si>
  <si>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</si>
  <si>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</si>
  <si>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</si>
  <si>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</si>
  <si>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</si>
  <si>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</si>
  <si>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</si>
  <si>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</si>
  <si>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</si>
  <si>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</si>
  <si>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</si>
  <si>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</si>
  <si>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</si>
  <si>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</si>
  <si>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</si>
  <si>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</si>
  <si>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</si>
  <si>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</si>
  <si>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</si>
  <si>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</si>
  <si>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</si>
  <si>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</si>
  <si>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</si>
  <si>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</si>
  <si>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</si>
  <si>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</si>
  <si>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</si>
  <si>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</si>
  <si>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</si>
  <si>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</si>
  <si>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</si>
  <si>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</si>
  <si>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</si>
  <si>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</si>
  <si>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</si>
  <si>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</si>
  <si>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</si>
  <si>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</si>
  <si>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</si>
  <si>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</si>
  <si>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</si>
  <si>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</si>
  <si>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</si>
  <si>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</si>
  <si>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</si>
  <si>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</si>
  <si>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</si>
  <si>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</si>
  <si>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</si>
  <si>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</si>
  <si>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</si>
  <si>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</si>
  <si>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</si>
  <si>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</si>
  <si>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</si>
  <si>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</si>
  <si>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</si>
  <si>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</si>
  <si>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</si>
  <si>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</si>
  <si>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</si>
  <si>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</si>
  <si>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</si>
  <si>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</si>
  <si>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</si>
  <si>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</si>
  <si>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</si>
  <si>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</si>
  <si>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</si>
  <si>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</si>
  <si>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</si>
  <si>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</si>
  <si>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</si>
  <si>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</si>
  <si>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</si>
  <si>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</si>
  <si>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</si>
  <si>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</si>
  <si>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</si>
  <si>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</si>
  <si>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</si>
  <si>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</si>
  <si>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</si>
  <si>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PREJUDICIALES TERMINADAS SEGUNDO SEMESTRE 2021</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</si>
  <si>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</si>
  <si>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</si>
  <si>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</si>
  <si>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</si>
  <si>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</si>
  <si>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</si>
  <si>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</si>
  <si>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</si>
  <si>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</si>
  <si>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</si>
  <si>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</si>
  <si>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</si>
  <si>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</si>
  <si>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</si>
  <si>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</si>
  <si>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</si>
  <si>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</si>
  <si>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</si>
  <si>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</si>
  <si>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</si>
  <si>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</si>
  <si>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</si>
  <si>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</si>
  <si>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</si>
  <si>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</si>
  <si>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</si>
  <si>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</si>
  <si>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</si>
  <si>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</si>
  <si>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</si>
  <si>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</si>
  <si>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</si>
  <si>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</si>
  <si>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</si>
  <si>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</si>
  <si>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</si>
  <si>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</si>
  <si>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</si>
  <si>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</si>
  <si>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</si>
  <si>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</si>
  <si>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MARISOL OROZCO GIRALDO</t>
  </si>
  <si>
    <t>CLAUDIA PATRICIA SALDAÑA OSORIO</t>
  </si>
  <si>
    <t>WILSON GIOVANNY PATIÑO SUAREZ</t>
  </si>
  <si>
    <t>HERNANDO ENRIQUE SANTOS IRIARTE</t>
  </si>
  <si>
    <t>OLIVA BARRIOS AGUDELO</t>
  </si>
  <si>
    <t>PREJUDICIALES ACTIVOS: Se tomó la muestra seleccionada de los 6 prejudiciales activos con registro anterior al 1 de enero de 2022 , para validar las terminadas y las que permanecen activas. Se presentaron las mismas seis (6) del reporte anterior:
ID 1405553: Duplicado con el 1379201, con el cual se gestionó en el sistema.
ID 1414697: Duplicado con el 1408285, con el cual se gestionó en el sistema.
ID 1423348: Duplicado con el 1422230, la cual se encuentra terminada.
ID 1449840 y 1421030: “La entidad no fue citada por la Procuraduría a la audiencia de conciliación, razón por la cual no hay documentos que acrediten que se hubiese admitido la misma por el ente de control y por ende no se ha podido terminar el proceso en eKOGUI. Esta situación fue excepcionada en la contestación de la demanda.”
ID 1461310: "Revisado el sistema eKOGUI, se pudo evidenciar que la conciliación extrajudicial identificada con el No. 1461310, se encuentra concluida como quiera que fue llevada al comité en el mes de abril"</t>
  </si>
  <si>
    <t>AGENCIA DE DESARROLLO RURAL</t>
  </si>
  <si>
    <t>1. INGRESO Y RETIRO DE USUARIOS: De acuerdo con el reporte generado desde el sistema eKOGUI, se realizó actualización de los roles de “Jefe Financiero”, "Enlace de pagos", "jefe de Control Interno", y “Secretario Técnico del Comité de Conciliación”, no obstante, las personas que contaban con estos roles, se desvincularon de la Agencia en las siguientes fechas: Jefe financiero 31 de diciembre de 2020 y se actualizó el 25 de febrero de 2022, Enlace de pagos se retiró el 5 de abril de 2021 y se actualizó el 29 de marzo de 2022, Jefe de control interno se retiró el 4 de octubre de 2021 y se actualizó el 27 de enero de 2022 y el Secretario Técnico se designó el 19 de mayo de 2022 y se modificó el 20 de mayo de 2022
 2.CAPACITACIÓN: Se evidenció que respecto a los roles de “Enlace de Pagos” y “Secretario técnico”, aún no han realizado la capacitación.</t>
  </si>
  <si>
    <t>Activación e inactivación de usuarios: El Administrador del Sistema en la Entidad le corresponde realizar oportunamente las activaciones y desactivaciones de los usuarios según corresponda, de acuerdo con las novedades que presenten los usuarios en la Entidad.
Capacitaciones usuarios: Programar asistencia a capacitaciones en el rol asignado para los usuarios con rol Jefe Financiero, Enlace de Pagos y Secretario Técnico, con el fin de fortalecer las competencias y actualizarse en el funcionamiento de la versión 2.0 del sistema eKOGUI, que fue desplegada desde el mes de abril de 2019, así como la implementación del módulo de relación de pagos y la mejora de los módulos de registro y actualización de procesos judiciales y gestión de los Comités de Conciliación. De otra parte, se recomienda solicitar semestralmente a la ANDJE la capacitación para todos los usuarios; así como velar para que sea recibida oportunamente
Procesos Judiciales y Prejudiciales: El Administrador del Sistema en la Entidad debe continuar con los trámites ante la ANDJE para la eliminación del proceso ID eKOGUI 2161854 y las conciliaciones extrajudiciales que registran como activas en el sistema duplicadas y que ya se encuentran terminadas en la Entidad, así como actualizar lo pertinente en el sistema para que los reportes reflejen su estado real.</t>
  </si>
  <si>
    <t>La Oficina Jurídica a través del memorando 20222100027263 del 25 de julio de 2022, indicó que: “Durante el período objeto de reporte, la entidad en cumplimiento del auto de fecha 11 de mayo de 2022 proferido por el Tribunal Administrativo de Boyacá en el marco de la Acción Popular con radicado 15001233100020110003101 realizó 6 pagos por concepto del precio de los predios ubicados en el embalse la Copa, adquiridos por el extinto INCODER, el cual fue ordenado en el auto en mención.”, por un valor total de 81.696.300.</t>
  </si>
  <si>
    <t>ROSA ESTELA PADRON BARRETO</t>
  </si>
  <si>
    <t xml:space="preserve">1. INGRESO Y RETIRO DE USUARIOS: 
Durante el primer semestre de 2022, un usuario con rol de abogado presentó ausencia absoluta, esto como consecuencia de la terminación del contrato de prestación de servicios cuyo plazo de ejecución fue hasta el 31 de julio de 2021 , sin embargo continúa registrando "activo" dentro de la plataforma. 
De acuerdo con lo anterior,la Oficina juridica indicó: "(...)la inactivación del usuario no se pudo realizar directamente, el 2 de febrero se solicitó a soporte ekogui la colaboración para la inactivación desde la entidad y posteriormente esta solicitud fue reiterada el 18 de marzo de 2022, sin que a la fecha hayamos obtenido respuesta al respecto(…)”. </t>
  </si>
  <si>
    <t>PROCESOS ACTIVOS: La Oficina Jurídica registra cinco procesos más de los registrados en eKOGUI, de dos de ellos la Oficina Juridica indicó: radicado 08001333300320160010600 Registrado en ekogui con el número 427040, con estado terminado, sin embargo, el proceso se encuentra activo, razón por la cual el apoderado de la entidad se encuentra adelantando los trámites ante la ANDJE para que se corrija el equívoco y frente al radicado 15001233100420100136300, manifestaron "Se trata de una acción popular en etapa de cumplimiento de fallo, en la cual la entidad fue vinculada en audiencia como sucesora del INCODER, razón por la cual no debe registrarse en el sistema", de los 3 restantes no se obtuvo respuesta.
ACTUALIZACIÓN: Respecto a los 43 procesos activos con estado terminado, la Oficina Jurídica informó que 
 Diez y nueve (19) procesos no están terminados en Ekogui, toda vez que se encuentran gestionando lo pertinente para obtener las constancias de ejecutoria y poder finalizar estos procesos.
 Dos (2) procesos no están terminados porque se encuentran al despacho para proyecciones de sentencias.
 Once (11) no se han terminado porque están pendientes de los fallos de segunda instancia. 
 Uno (1) se encuentra gestionando el cobro de costas judiciales.
 Un (1) proceso se encuentra abierto ya que está pendiente de resolver aclaración de auto que decidió el incidente y para resolver solicitud de la ADR de requerimiento contra el actor popular.
 Siete (7) no se han terminado porque están pendientes de los fallos de primera instancia. 
 Un (1) proceso continúa registrando activo, toda vez que es una acción popular que se encuentra en cumplimiento de órdenes, mensualmente se presentan informes al respecto.          
 Un (1) proceso no se puede dar por terminado, toda vez que se encuentra en conflicto de competencias. 
CALIFICACIÓN DEL RIESGO: Cuatro procesos  no registran calificación del riesgo por contestación de la demanda en las siguientes fechas: 12, 13 y 14 de julio de 2022 y 22 de junio del mismo año.
PROVISIÓN CONTABLE: La Entidad registra combios en la provisión contable, un proceso que tenía probabilidad de pérdida "ALTA", pasó a "MEDIA", otro que estaba en "MEDIA", pasó 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</si>
</sst>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opLeftCell="A11" workbookViewId="0">
      <selection activeCell="B20" sqref="B20"/>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7" t="s">
        <v>75</v>
      </c>
      <c r="C3" s="78"/>
      <c r="D3" s="78"/>
      <c r="E3" s="78"/>
      <c r="F3" s="78"/>
      <c r="G3" s="78"/>
      <c r="H3" s="78"/>
      <c r="I3" s="78"/>
      <c r="J3" s="78"/>
      <c r="K3" s="78"/>
      <c r="L3" s="78"/>
      <c r="M3" s="78"/>
      <c r="N3" s="78"/>
      <c r="O3" s="79"/>
    </row>
    <row r="4" spans="2:15" ht="23.25" x14ac:dyDescent="0.35">
      <c r="B4" s="77" t="s">
        <v>11</v>
      </c>
      <c r="C4" s="78"/>
      <c r="D4" s="78"/>
      <c r="E4" s="78"/>
      <c r="F4" s="78"/>
      <c r="G4" s="78"/>
      <c r="H4" s="78"/>
      <c r="I4" s="78"/>
      <c r="J4" s="78"/>
      <c r="K4" s="78"/>
      <c r="L4" s="78"/>
      <c r="M4" s="78"/>
      <c r="N4" s="78"/>
      <c r="O4" s="79"/>
    </row>
    <row r="5" spans="2:15" x14ac:dyDescent="0.25">
      <c r="B5" s="5"/>
      <c r="O5" s="6"/>
    </row>
    <row r="6" spans="2:15" x14ac:dyDescent="0.25">
      <c r="B6" s="5"/>
      <c r="C6" s="80" t="s">
        <v>87</v>
      </c>
      <c r="D6" s="80"/>
      <c r="E6" s="80"/>
      <c r="F6" s="80"/>
      <c r="G6" s="80"/>
      <c r="H6" s="80"/>
      <c r="I6" s="80"/>
      <c r="J6" s="80"/>
      <c r="K6" s="80"/>
      <c r="L6" s="80"/>
      <c r="M6" s="80"/>
      <c r="N6" s="80"/>
      <c r="O6" s="6"/>
    </row>
    <row r="7" spans="2:15" x14ac:dyDescent="0.25">
      <c r="B7" s="5"/>
      <c r="C7" s="80"/>
      <c r="D7" s="80"/>
      <c r="E7" s="80"/>
      <c r="F7" s="80"/>
      <c r="G7" s="80"/>
      <c r="H7" s="80"/>
      <c r="I7" s="80"/>
      <c r="J7" s="80"/>
      <c r="K7" s="80"/>
      <c r="L7" s="80"/>
      <c r="M7" s="80"/>
      <c r="N7" s="80"/>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9"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1" t="s">
        <v>105</v>
      </c>
      <c r="C7" s="82"/>
      <c r="D7" s="82"/>
      <c r="E7" s="82"/>
      <c r="F7" s="82"/>
      <c r="G7" s="83"/>
      <c r="T7" s="1" t="s">
        <v>12</v>
      </c>
    </row>
    <row r="8" spans="2:20" ht="15.75" thickBot="1" x14ac:dyDescent="0.3">
      <c r="B8" s="13"/>
      <c r="D8" s="89" t="s">
        <v>143</v>
      </c>
      <c r="E8" s="89"/>
      <c r="G8" s="14"/>
      <c r="T8" s="1" t="s">
        <v>13</v>
      </c>
    </row>
    <row r="9" spans="2:20" ht="15.75" thickBot="1" x14ac:dyDescent="0.3">
      <c r="B9" s="87" t="s">
        <v>107</v>
      </c>
      <c r="C9" s="88"/>
      <c r="D9" s="69">
        <v>44781</v>
      </c>
      <c r="G9" s="14"/>
      <c r="T9" s="1" t="s">
        <v>14</v>
      </c>
    </row>
    <row r="10" spans="2:20" x14ac:dyDescent="0.25">
      <c r="B10" s="13" t="s">
        <v>145</v>
      </c>
      <c r="G10" s="58">
        <v>43545</v>
      </c>
    </row>
    <row r="11" spans="2:20" x14ac:dyDescent="0.25">
      <c r="B11" s="20" t="s">
        <v>15</v>
      </c>
      <c r="C11" s="21" t="s">
        <v>16</v>
      </c>
      <c r="D11" s="22" t="s">
        <v>6</v>
      </c>
      <c r="E11" s="21" t="s">
        <v>7</v>
      </c>
      <c r="F11" s="21" t="s">
        <v>17</v>
      </c>
      <c r="G11" s="23" t="s">
        <v>76</v>
      </c>
    </row>
    <row r="12" spans="2:20" x14ac:dyDescent="0.25">
      <c r="B12" s="19" t="s">
        <v>0</v>
      </c>
      <c r="C12" s="68" t="s">
        <v>12</v>
      </c>
      <c r="D12" s="69">
        <v>44617</v>
      </c>
      <c r="E12" s="68" t="s">
        <v>193</v>
      </c>
      <c r="F12" s="69">
        <v>44712</v>
      </c>
      <c r="G12" s="70" t="str">
        <f>+IF(C12="SI",IF(F12&lt;$G$10,"DESACTUALIZADO",""),"")</f>
        <v/>
      </c>
      <c r="H12" s="36">
        <f t="shared" ref="H12:H17" si="0">+IF(C12="N/A",1,0)</f>
        <v>0</v>
      </c>
      <c r="I12" s="36">
        <f t="shared" ref="I12:I17" si="1">+IF(C12="Si",1,0)</f>
        <v>1</v>
      </c>
      <c r="J12" s="36">
        <f t="shared" ref="J12:J17" si="2">+IF(C12="No",1,0)</f>
        <v>0</v>
      </c>
    </row>
    <row r="13" spans="2:20" x14ac:dyDescent="0.25">
      <c r="B13" s="19" t="s">
        <v>1</v>
      </c>
      <c r="C13" s="68" t="s">
        <v>12</v>
      </c>
      <c r="D13" s="69">
        <v>44259</v>
      </c>
      <c r="E13" s="68" t="s">
        <v>189</v>
      </c>
      <c r="F13" s="69">
        <v>44673</v>
      </c>
      <c r="G13" s="70" t="str">
        <f t="shared" ref="G13:G17" si="3">+IF(C13="SI",IF(F13&lt;$G$10,"DESACTUALIZADO",""),"")</f>
        <v/>
      </c>
      <c r="H13" s="36">
        <f t="shared" si="0"/>
        <v>0</v>
      </c>
      <c r="I13" s="36">
        <f t="shared" si="1"/>
        <v>1</v>
      </c>
      <c r="J13" s="36">
        <f t="shared" si="2"/>
        <v>0</v>
      </c>
    </row>
    <row r="14" spans="2:20" x14ac:dyDescent="0.25">
      <c r="B14" s="19" t="s">
        <v>2</v>
      </c>
      <c r="C14" s="68" t="s">
        <v>12</v>
      </c>
      <c r="D14" s="69">
        <v>44649</v>
      </c>
      <c r="E14" s="68" t="s">
        <v>190</v>
      </c>
      <c r="F14" s="69"/>
      <c r="G14" s="70" t="str">
        <f t="shared" si="3"/>
        <v>DESACTUALIZADO</v>
      </c>
      <c r="H14" s="36">
        <f t="shared" si="0"/>
        <v>0</v>
      </c>
      <c r="I14" s="36">
        <f t="shared" si="1"/>
        <v>1</v>
      </c>
      <c r="J14" s="36">
        <f t="shared" si="2"/>
        <v>0</v>
      </c>
      <c r="T14" s="41">
        <v>43545</v>
      </c>
    </row>
    <row r="15" spans="2:20" x14ac:dyDescent="0.25">
      <c r="B15" s="19" t="s">
        <v>3</v>
      </c>
      <c r="C15" s="68" t="s">
        <v>12</v>
      </c>
      <c r="D15" s="69">
        <v>44588</v>
      </c>
      <c r="E15" s="68" t="s">
        <v>191</v>
      </c>
      <c r="F15" s="69">
        <v>44775</v>
      </c>
      <c r="G15" s="70" t="str">
        <f t="shared" si="3"/>
        <v/>
      </c>
      <c r="H15" s="36">
        <f t="shared" si="0"/>
        <v>0</v>
      </c>
      <c r="I15" s="36">
        <f t="shared" si="1"/>
        <v>1</v>
      </c>
      <c r="J15" s="36">
        <f t="shared" si="2"/>
        <v>0</v>
      </c>
    </row>
    <row r="16" spans="2:20" x14ac:dyDescent="0.25">
      <c r="B16" s="19" t="s">
        <v>4</v>
      </c>
      <c r="C16" s="68" t="s">
        <v>12</v>
      </c>
      <c r="D16" s="69">
        <v>44701</v>
      </c>
      <c r="E16" s="68" t="s">
        <v>192</v>
      </c>
      <c r="F16" s="69"/>
      <c r="G16" s="70" t="str">
        <f t="shared" si="3"/>
        <v>DESACTUALIZADO</v>
      </c>
      <c r="H16" s="36">
        <f t="shared" si="0"/>
        <v>0</v>
      </c>
      <c r="I16" s="36">
        <f t="shared" si="1"/>
        <v>1</v>
      </c>
      <c r="J16" s="36">
        <f t="shared" si="2"/>
        <v>0</v>
      </c>
    </row>
    <row r="17" spans="2:10" x14ac:dyDescent="0.25">
      <c r="B17" s="19" t="s">
        <v>5</v>
      </c>
      <c r="C17" s="68" t="s">
        <v>12</v>
      </c>
      <c r="D17" s="69">
        <v>44629</v>
      </c>
      <c r="E17" s="68" t="s">
        <v>199</v>
      </c>
      <c r="F17" s="69">
        <v>44673</v>
      </c>
      <c r="G17" s="70" t="str">
        <f t="shared" si="3"/>
        <v/>
      </c>
      <c r="H17" s="36">
        <f t="shared" si="0"/>
        <v>0</v>
      </c>
      <c r="I17" s="36">
        <f t="shared" si="1"/>
        <v>1</v>
      </c>
      <c r="J17" s="36">
        <f t="shared" si="2"/>
        <v>0</v>
      </c>
    </row>
    <row r="18" spans="2:10" x14ac:dyDescent="0.25">
      <c r="B18" s="13"/>
      <c r="G18" s="14"/>
    </row>
    <row r="19" spans="2:10" ht="94.5" customHeight="1" thickBot="1" x14ac:dyDescent="0.3">
      <c r="B19" s="53" t="s">
        <v>90</v>
      </c>
      <c r="C19" s="84" t="s">
        <v>196</v>
      </c>
      <c r="D19" s="85"/>
      <c r="E19" s="85"/>
      <c r="F19" s="85"/>
      <c r="G19" s="86"/>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42" priority="14" operator="containsText" text="N/A">
      <formula>NOT(ISERROR(SEARCH("N/A",C12)))</formula>
    </cfRule>
    <cfRule type="containsBlanks" dxfId="41" priority="22">
      <formula>LEN(TRIM(C12))=0</formula>
    </cfRule>
  </conditionalFormatting>
  <conditionalFormatting sqref="D9">
    <cfRule type="containsBlanks" dxfId="40" priority="21">
      <formula>LEN(TRIM(D9))=0</formula>
    </cfRule>
  </conditionalFormatting>
  <conditionalFormatting sqref="D12:F17">
    <cfRule type="containsBlanks" dxfId="39" priority="16">
      <formula>LEN(TRIM(D12))=0</formula>
    </cfRule>
  </conditionalFormatting>
  <conditionalFormatting sqref="C19">
    <cfRule type="containsBlanks" dxfId="38" priority="15">
      <formula>LEN(TRIM(C19))=0</formula>
    </cfRule>
  </conditionalFormatting>
  <conditionalFormatting sqref="D12:F12 D13:D17">
    <cfRule type="expression" dxfId="37" priority="10">
      <formula>OR($C$12="No",$C$12="N/A")</formula>
    </cfRule>
  </conditionalFormatting>
  <conditionalFormatting sqref="D14:F14">
    <cfRule type="expression" dxfId="36" priority="9">
      <formula>OR($C$14="No",$C$14="N/A")</formula>
    </cfRule>
  </conditionalFormatting>
  <conditionalFormatting sqref="D13:F13">
    <cfRule type="expression" dxfId="35" priority="7">
      <formula>OR($C$13="No",$C$13="N/A")</formula>
    </cfRule>
  </conditionalFormatting>
  <conditionalFormatting sqref="D15:F15">
    <cfRule type="expression" dxfId="34" priority="5">
      <formula>OR($C$15="No",$C$15="N/A")</formula>
    </cfRule>
  </conditionalFormatting>
  <conditionalFormatting sqref="D16:F16">
    <cfRule type="expression" dxfId="33" priority="4">
      <formula>OR($C$16="No",$C$16="N/A")</formula>
    </cfRule>
  </conditionalFormatting>
  <conditionalFormatting sqref="D17:F17">
    <cfRule type="expression" dxfId="32" priority="3">
      <formula>OR($C$17="No",$C$17="N/A")</formula>
    </cfRule>
  </conditionalFormatting>
  <conditionalFormatting sqref="F13:F17">
    <cfRule type="expression" dxfId="31" priority="2">
      <formula>OR($C$12="No",$C$12="N/A")</formula>
    </cfRule>
  </conditionalFormatting>
  <conditionalFormatting sqref="F13">
    <cfRule type="expression" dxfId="30" priority="1">
      <formula>OR($C$12="No",$C$12="N/A")</formula>
    </cfRule>
  </conditionalFormatting>
  <dataValidations xWindow="369" yWindow="553" count="5">
    <dataValidation type="date" showInputMessage="1" showErrorMessage="1" promptTitle="Fecha de Generacion del Reporte" prompt="Indique la fecha en que genera o Elabora este reporte de Usuarios Activos  No Abogados" sqref="D9" xr:uid="{00000000-0002-0000-0100-000000000000}">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4000000}">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D29" sqref="D29"/>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3</v>
      </c>
    </row>
    <row r="4" spans="2:22" x14ac:dyDescent="0.25">
      <c r="B4" s="13"/>
      <c r="H4" s="14"/>
    </row>
    <row r="5" spans="2:22" x14ac:dyDescent="0.25">
      <c r="B5" s="13"/>
      <c r="D5" s="1" t="s">
        <v>143</v>
      </c>
      <c r="H5" s="14"/>
    </row>
    <row r="6" spans="2:22" ht="15" customHeight="1" x14ac:dyDescent="0.25">
      <c r="B6" s="13"/>
      <c r="G6" s="26"/>
      <c r="H6" s="27"/>
    </row>
    <row r="7" spans="2:22" ht="17.25" customHeight="1" x14ac:dyDescent="0.35">
      <c r="B7" s="13"/>
      <c r="C7" s="18" t="s">
        <v>107</v>
      </c>
      <c r="D7" s="69">
        <v>44781</v>
      </c>
      <c r="E7" s="24"/>
      <c r="F7" s="90" t="str">
        <f>"Seleccione una muestra de "&amp;V3&amp;" abogados activos y complete la siguiente tabla"</f>
        <v>Seleccione una muestra de 3 abogados activos y complete la siguiente tabla</v>
      </c>
      <c r="G7" s="91"/>
      <c r="H7" s="27"/>
    </row>
    <row r="8" spans="2:22" x14ac:dyDescent="0.25">
      <c r="B8" s="13"/>
      <c r="F8" s="92"/>
      <c r="G8" s="93"/>
      <c r="H8" s="14"/>
      <c r="T8" s="1" t="s">
        <v>13</v>
      </c>
    </row>
    <row r="9" spans="2:22" ht="23.25" x14ac:dyDescent="0.25">
      <c r="B9" s="13"/>
      <c r="C9" s="28" t="s">
        <v>149</v>
      </c>
      <c r="E9"/>
      <c r="F9" s="22" t="s">
        <v>94</v>
      </c>
      <c r="G9" s="22" t="s">
        <v>19</v>
      </c>
      <c r="H9" s="14"/>
      <c r="T9" s="1" t="s">
        <v>14</v>
      </c>
    </row>
    <row r="10" spans="2:22" x14ac:dyDescent="0.25">
      <c r="B10" s="13"/>
      <c r="C10" s="21" t="s">
        <v>150</v>
      </c>
      <c r="D10" s="21" t="s">
        <v>23</v>
      </c>
      <c r="E10"/>
      <c r="F10" s="18" t="s">
        <v>91</v>
      </c>
      <c r="G10" s="68">
        <v>3</v>
      </c>
      <c r="H10" s="14"/>
    </row>
    <row r="11" spans="2:22" x14ac:dyDescent="0.25">
      <c r="B11" s="13"/>
      <c r="C11" s="18" t="s">
        <v>162</v>
      </c>
      <c r="D11" s="68">
        <v>2</v>
      </c>
      <c r="E11"/>
      <c r="F11" s="18" t="s">
        <v>92</v>
      </c>
      <c r="G11" s="68">
        <v>3</v>
      </c>
      <c r="H11" s="14"/>
    </row>
    <row r="12" spans="2:22" x14ac:dyDescent="0.25">
      <c r="B12" s="13"/>
      <c r="C12" s="18" t="s">
        <v>22</v>
      </c>
      <c r="D12" s="68">
        <v>3</v>
      </c>
      <c r="E12"/>
      <c r="F12" s="18" t="s">
        <v>93</v>
      </c>
      <c r="G12" s="68">
        <v>3</v>
      </c>
      <c r="H12" s="14"/>
    </row>
    <row r="13" spans="2:22" x14ac:dyDescent="0.25">
      <c r="B13" s="13"/>
      <c r="C13" s="18" t="s">
        <v>26</v>
      </c>
      <c r="D13" s="68">
        <v>2</v>
      </c>
      <c r="E13"/>
      <c r="F13" s="44" t="s">
        <v>99</v>
      </c>
      <c r="G13" s="43"/>
      <c r="H13" s="14"/>
    </row>
    <row r="14" spans="2:22" x14ac:dyDescent="0.25">
      <c r="B14" s="13"/>
      <c r="E14"/>
      <c r="F14" s="45" t="s">
        <v>100</v>
      </c>
      <c r="G14" s="46"/>
      <c r="H14" s="14"/>
    </row>
    <row r="15" spans="2:22" x14ac:dyDescent="0.25">
      <c r="B15" s="13"/>
      <c r="E15"/>
      <c r="H15" s="14"/>
    </row>
    <row r="16" spans="2:22" x14ac:dyDescent="0.25">
      <c r="B16" s="13"/>
      <c r="C16" s="21" t="s">
        <v>24</v>
      </c>
      <c r="D16" s="21" t="s">
        <v>23</v>
      </c>
      <c r="E16"/>
      <c r="F16" s="22" t="s">
        <v>103</v>
      </c>
      <c r="G16" s="22" t="s">
        <v>19</v>
      </c>
      <c r="H16" s="14"/>
    </row>
    <row r="17" spans="2:8" x14ac:dyDescent="0.25">
      <c r="B17" s="13"/>
      <c r="C17" s="18" t="s">
        <v>163</v>
      </c>
      <c r="D17" s="68">
        <v>0</v>
      </c>
      <c r="E17"/>
      <c r="F17" s="18" t="s">
        <v>106</v>
      </c>
      <c r="G17" s="68">
        <v>2</v>
      </c>
      <c r="H17" s="14"/>
    </row>
    <row r="18" spans="2:8" x14ac:dyDescent="0.25">
      <c r="B18" s="13"/>
      <c r="C18" s="18" t="s">
        <v>181</v>
      </c>
      <c r="D18" s="68">
        <v>0</v>
      </c>
      <c r="E18"/>
      <c r="F18" s="37" t="s">
        <v>77</v>
      </c>
      <c r="G18" s="68">
        <v>0</v>
      </c>
      <c r="H18" s="14"/>
    </row>
    <row r="19" spans="2:8" x14ac:dyDescent="0.25">
      <c r="B19" s="13"/>
      <c r="C19" s="49"/>
      <c r="E19"/>
      <c r="F19" s="18" t="s">
        <v>96</v>
      </c>
      <c r="G19" s="68">
        <v>0</v>
      </c>
      <c r="H19" s="14"/>
    </row>
    <row r="20" spans="2:8" x14ac:dyDescent="0.25">
      <c r="B20" s="13"/>
      <c r="C20" s="49"/>
      <c r="E20"/>
      <c r="F20" s="18" t="s">
        <v>25</v>
      </c>
      <c r="G20" s="68">
        <v>0</v>
      </c>
      <c r="H20" s="14"/>
    </row>
    <row r="21" spans="2:8" x14ac:dyDescent="0.25">
      <c r="B21" s="13"/>
      <c r="C21" s="49" t="s">
        <v>95</v>
      </c>
      <c r="E21"/>
      <c r="F21"/>
      <c r="G21"/>
      <c r="H21" s="14"/>
    </row>
    <row r="22" spans="2:8" ht="15" customHeight="1" x14ac:dyDescent="0.25">
      <c r="B22" s="13"/>
      <c r="C22" s="94" t="s">
        <v>200</v>
      </c>
      <c r="D22" s="95"/>
      <c r="E22" s="95"/>
      <c r="F22" s="95"/>
      <c r="G22" s="96"/>
      <c r="H22" s="14"/>
    </row>
    <row r="23" spans="2:8" x14ac:dyDescent="0.25">
      <c r="B23" s="13"/>
      <c r="C23" s="97"/>
      <c r="D23" s="98"/>
      <c r="E23" s="98"/>
      <c r="F23" s="98"/>
      <c r="G23" s="99"/>
      <c r="H23" s="14"/>
    </row>
    <row r="24" spans="2:8" x14ac:dyDescent="0.25">
      <c r="B24" s="13"/>
      <c r="C24" s="97"/>
      <c r="D24" s="98"/>
      <c r="E24" s="98"/>
      <c r="F24" s="98"/>
      <c r="G24" s="99"/>
      <c r="H24" s="14"/>
    </row>
    <row r="25" spans="2:8" x14ac:dyDescent="0.25">
      <c r="B25" s="13"/>
      <c r="C25" s="100"/>
      <c r="D25" s="101"/>
      <c r="E25" s="101"/>
      <c r="F25" s="101"/>
      <c r="G25" s="102"/>
      <c r="H25" s="14"/>
    </row>
    <row r="26" spans="2:8" ht="15.75" thickBot="1" x14ac:dyDescent="0.3">
      <c r="B26" s="15"/>
      <c r="C26" s="16"/>
      <c r="D26" s="16"/>
      <c r="E26" s="16"/>
      <c r="F26" s="16"/>
      <c r="G26" s="16"/>
      <c r="H26" s="17"/>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17" zoomScale="80" zoomScaleNormal="80" workbookViewId="0">
      <selection activeCell="J28" sqref="J28"/>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6</v>
      </c>
    </row>
    <row r="4" spans="2:23" x14ac:dyDescent="0.25">
      <c r="B4" s="13"/>
      <c r="I4" s="14"/>
    </row>
    <row r="5" spans="2:23" ht="9" customHeight="1" x14ac:dyDescent="0.25">
      <c r="B5" s="13"/>
      <c r="I5" s="14"/>
    </row>
    <row r="6" spans="2:23" ht="19.5" customHeight="1" x14ac:dyDescent="0.25">
      <c r="B6" s="13"/>
      <c r="C6" s="108" t="s">
        <v>65</v>
      </c>
      <c r="D6" s="108"/>
      <c r="E6" s="108"/>
      <c r="F6" s="108"/>
      <c r="G6" s="108"/>
      <c r="H6" s="108"/>
      <c r="I6" s="27"/>
    </row>
    <row r="7" spans="2:23" x14ac:dyDescent="0.25">
      <c r="B7" s="13"/>
      <c r="E7" s="71" t="s">
        <v>143</v>
      </c>
      <c r="I7" s="14"/>
      <c r="U7" s="1" t="s">
        <v>13</v>
      </c>
    </row>
    <row r="8" spans="2:23" x14ac:dyDescent="0.25">
      <c r="B8" s="13"/>
      <c r="C8" s="21" t="s">
        <v>107</v>
      </c>
      <c r="D8" s="69">
        <v>44784</v>
      </c>
      <c r="E8"/>
      <c r="F8" s="31" t="s">
        <v>102</v>
      </c>
      <c r="G8" s="76" t="s">
        <v>18</v>
      </c>
      <c r="I8" s="14"/>
      <c r="U8" s="1" t="s">
        <v>14</v>
      </c>
    </row>
    <row r="9" spans="2:23" x14ac:dyDescent="0.25">
      <c r="B9" s="13"/>
      <c r="E9"/>
      <c r="F9" s="18" t="s">
        <v>168</v>
      </c>
      <c r="G9" s="68">
        <v>3</v>
      </c>
      <c r="I9" s="14"/>
    </row>
    <row r="10" spans="2:23" x14ac:dyDescent="0.25">
      <c r="B10" s="13"/>
      <c r="C10" s="21" t="s">
        <v>151</v>
      </c>
      <c r="D10" s="21" t="s">
        <v>23</v>
      </c>
      <c r="E10"/>
      <c r="F10" s="18" t="s">
        <v>57</v>
      </c>
      <c r="G10" s="68">
        <v>3</v>
      </c>
      <c r="I10" s="14"/>
    </row>
    <row r="11" spans="2:23" x14ac:dyDescent="0.25">
      <c r="B11" s="13"/>
      <c r="C11" s="18" t="s">
        <v>164</v>
      </c>
      <c r="D11" s="68">
        <v>172</v>
      </c>
      <c r="E11"/>
      <c r="F11" s="18" t="s">
        <v>79</v>
      </c>
      <c r="G11" s="68">
        <v>3</v>
      </c>
      <c r="I11" s="14"/>
    </row>
    <row r="12" spans="2:23" x14ac:dyDescent="0.25">
      <c r="B12" s="13"/>
      <c r="C12" s="18" t="s">
        <v>28</v>
      </c>
      <c r="D12" s="68">
        <v>168</v>
      </c>
      <c r="E12"/>
      <c r="F12" s="32" t="s">
        <v>157</v>
      </c>
      <c r="I12" s="14"/>
    </row>
    <row r="13" spans="2:23" x14ac:dyDescent="0.25">
      <c r="B13" s="13"/>
      <c r="C13" s="18" t="s">
        <v>78</v>
      </c>
      <c r="D13" s="68">
        <v>0</v>
      </c>
      <c r="E13"/>
      <c r="F13" s="32" t="s">
        <v>80</v>
      </c>
      <c r="I13" s="14"/>
    </row>
    <row r="14" spans="2:23" x14ac:dyDescent="0.25">
      <c r="B14" s="13"/>
      <c r="C14" s="32" t="s">
        <v>152</v>
      </c>
      <c r="E14"/>
      <c r="F14" s="22" t="s">
        <v>32</v>
      </c>
      <c r="G14" s="21" t="s">
        <v>23</v>
      </c>
      <c r="I14" s="14"/>
    </row>
    <row r="15" spans="2:23" x14ac:dyDescent="0.25">
      <c r="B15" s="13"/>
      <c r="C15" s="21" t="s">
        <v>153</v>
      </c>
      <c r="D15" s="21" t="s">
        <v>23</v>
      </c>
      <c r="E15"/>
      <c r="F15" s="18" t="s">
        <v>169</v>
      </c>
      <c r="G15" s="68">
        <v>164</v>
      </c>
      <c r="I15" s="14"/>
    </row>
    <row r="16" spans="2:23" x14ac:dyDescent="0.25">
      <c r="B16" s="13"/>
      <c r="C16" s="18" t="s">
        <v>165</v>
      </c>
      <c r="D16" s="68">
        <v>6</v>
      </c>
      <c r="E16"/>
      <c r="F16" s="18" t="s">
        <v>170</v>
      </c>
      <c r="G16" s="68">
        <v>160</v>
      </c>
      <c r="I16" s="14"/>
    </row>
    <row r="17" spans="2:9" x14ac:dyDescent="0.25">
      <c r="B17" s="13"/>
      <c r="C17" s="18" t="s">
        <v>154</v>
      </c>
      <c r="D17" s="68">
        <v>6</v>
      </c>
      <c r="E17"/>
      <c r="F17" s="18" t="s">
        <v>171</v>
      </c>
      <c r="G17" s="68">
        <v>0</v>
      </c>
      <c r="I17" s="14"/>
    </row>
    <row r="18" spans="2:9" x14ac:dyDescent="0.25">
      <c r="B18" s="13"/>
      <c r="C18" s="32" t="s">
        <v>155</v>
      </c>
      <c r="E18"/>
      <c r="F18" s="18" t="s">
        <v>172</v>
      </c>
      <c r="G18" s="68">
        <v>4</v>
      </c>
      <c r="I18" s="14"/>
    </row>
    <row r="19" spans="2:9" x14ac:dyDescent="0.25">
      <c r="B19" s="13"/>
      <c r="E19"/>
      <c r="I19" s="14"/>
    </row>
    <row r="20" spans="2:9" ht="29.25" customHeight="1" x14ac:dyDescent="0.25">
      <c r="B20" s="13"/>
      <c r="C20" s="42" t="s">
        <v>31</v>
      </c>
      <c r="D20" s="42" t="s">
        <v>23</v>
      </c>
      <c r="E20"/>
      <c r="F20" s="33" t="s">
        <v>101</v>
      </c>
      <c r="G20" s="42" t="s">
        <v>144</v>
      </c>
      <c r="H20" s="34" t="s">
        <v>64</v>
      </c>
      <c r="I20" s="14"/>
    </row>
    <row r="21" spans="2:9" x14ac:dyDescent="0.25">
      <c r="B21" s="13"/>
      <c r="C21" s="51" t="s">
        <v>166</v>
      </c>
      <c r="D21" s="68">
        <v>81</v>
      </c>
      <c r="E21"/>
      <c r="F21" s="18" t="s">
        <v>60</v>
      </c>
      <c r="G21" s="68">
        <v>19</v>
      </c>
      <c r="H21" s="68">
        <v>8</v>
      </c>
      <c r="I21" s="14"/>
    </row>
    <row r="22" spans="2:9" ht="15" customHeight="1" x14ac:dyDescent="0.25">
      <c r="B22" s="13"/>
      <c r="C22" s="51" t="s">
        <v>167</v>
      </c>
      <c r="D22" s="68">
        <v>43</v>
      </c>
      <c r="E22"/>
      <c r="F22" s="18" t="s">
        <v>61</v>
      </c>
      <c r="G22" s="68">
        <v>57</v>
      </c>
      <c r="H22" s="68">
        <v>54</v>
      </c>
      <c r="I22" s="14"/>
    </row>
    <row r="23" spans="2:9" x14ac:dyDescent="0.25">
      <c r="B23" s="13"/>
      <c r="C23" s="57" t="s">
        <v>156</v>
      </c>
      <c r="D23" s="57"/>
      <c r="E23"/>
      <c r="F23" s="18" t="s">
        <v>62</v>
      </c>
      <c r="G23" s="68">
        <v>58</v>
      </c>
      <c r="H23" s="68">
        <v>58</v>
      </c>
      <c r="I23" s="14"/>
    </row>
    <row r="24" spans="2:9" x14ac:dyDescent="0.25">
      <c r="B24" s="13"/>
      <c r="E24"/>
      <c r="F24" s="18" t="s">
        <v>63</v>
      </c>
      <c r="G24" s="68">
        <v>26</v>
      </c>
      <c r="H24" s="68">
        <v>26</v>
      </c>
      <c r="I24" s="14"/>
    </row>
    <row r="25" spans="2:9" ht="30" customHeight="1" x14ac:dyDescent="0.25">
      <c r="B25" s="13"/>
      <c r="C25" s="59" t="str">
        <f>"Seleccione "&amp;W3&amp;" procesos teminados en el  primer semestre de 2022 y llene la siguiente tabla:"</f>
        <v>Seleccione 6 procesos teminados en el  primer semestre de 2022 y llene la siguiente tabla:</v>
      </c>
      <c r="D25" s="54"/>
      <c r="E25"/>
      <c r="F25" s="109" t="s">
        <v>173</v>
      </c>
      <c r="G25" s="109"/>
      <c r="H25" s="109"/>
      <c r="I25" s="14"/>
    </row>
    <row r="26" spans="2:9" ht="15.75" thickBot="1" x14ac:dyDescent="0.3">
      <c r="B26" s="13"/>
      <c r="C26" s="55"/>
      <c r="D26" s="56"/>
      <c r="E26"/>
      <c r="F26" s="52"/>
      <c r="I26" s="14"/>
    </row>
    <row r="27" spans="2:9" x14ac:dyDescent="0.25">
      <c r="B27" s="13"/>
      <c r="C27" s="42" t="s">
        <v>89</v>
      </c>
      <c r="D27" s="42" t="s">
        <v>23</v>
      </c>
      <c r="E27"/>
      <c r="F27" s="103" t="s">
        <v>88</v>
      </c>
      <c r="G27" s="104"/>
      <c r="H27" s="105"/>
      <c r="I27" s="14"/>
    </row>
    <row r="28" spans="2:9" x14ac:dyDescent="0.25">
      <c r="B28" s="13"/>
      <c r="C28" s="18" t="s">
        <v>81</v>
      </c>
      <c r="D28" s="68">
        <v>6</v>
      </c>
      <c r="E28"/>
      <c r="F28" s="106" t="s">
        <v>201</v>
      </c>
      <c r="G28" s="107"/>
      <c r="H28" s="107"/>
      <c r="I28" s="14"/>
    </row>
    <row r="29" spans="2:9" x14ac:dyDescent="0.25">
      <c r="B29" s="13"/>
      <c r="C29" s="18" t="s">
        <v>82</v>
      </c>
      <c r="D29" s="68">
        <v>6</v>
      </c>
      <c r="E29"/>
      <c r="F29" s="107"/>
      <c r="G29" s="107"/>
      <c r="H29" s="107"/>
      <c r="I29" s="14"/>
    </row>
    <row r="30" spans="2:9" x14ac:dyDescent="0.25">
      <c r="B30" s="13"/>
      <c r="C30" s="18" t="s">
        <v>83</v>
      </c>
      <c r="D30" s="68">
        <v>0</v>
      </c>
      <c r="E30"/>
      <c r="F30" s="107"/>
      <c r="G30" s="107"/>
      <c r="H30" s="107"/>
      <c r="I30" s="14"/>
    </row>
    <row r="31" spans="2:9" x14ac:dyDescent="0.25">
      <c r="B31" s="13"/>
      <c r="C31" s="18" t="s">
        <v>84</v>
      </c>
      <c r="D31" s="68">
        <v>0</v>
      </c>
      <c r="E31"/>
      <c r="F31" s="107"/>
      <c r="G31" s="107"/>
      <c r="H31" s="107"/>
      <c r="I31" s="14"/>
    </row>
    <row r="32" spans="2:9" x14ac:dyDescent="0.25">
      <c r="B32" s="13"/>
      <c r="C32" s="18" t="s">
        <v>85</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8" workbookViewId="0">
      <selection activeCell="D22" sqref="D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6</v>
      </c>
    </row>
    <row r="3" spans="2:22" x14ac:dyDescent="0.25">
      <c r="B3" s="13"/>
      <c r="H3" s="14"/>
      <c r="V3" s="25">
        <f>+IF(V2&lt;=20,V2,IF(ROUNDDOWN(V2*10%,0)&lt;20,20,ROUNDDOWN(V2*10%,0)))</f>
        <v>6</v>
      </c>
    </row>
    <row r="4" spans="2:22" x14ac:dyDescent="0.25">
      <c r="B4" s="13"/>
      <c r="H4" s="14"/>
    </row>
    <row r="5" spans="2:22" x14ac:dyDescent="0.25">
      <c r="B5" s="13"/>
      <c r="H5" s="14"/>
    </row>
    <row r="6" spans="2:22" ht="15" customHeight="1" x14ac:dyDescent="0.25">
      <c r="B6" s="13"/>
      <c r="G6" s="26"/>
      <c r="H6" s="27"/>
    </row>
    <row r="7" spans="2:22" ht="23.25" x14ac:dyDescent="0.25">
      <c r="B7" s="13"/>
      <c r="C7" s="108" t="s">
        <v>146</v>
      </c>
      <c r="D7" s="108"/>
      <c r="E7" s="108"/>
      <c r="F7" s="108"/>
      <c r="G7" s="108"/>
      <c r="H7" s="27"/>
    </row>
    <row r="8" spans="2:22" x14ac:dyDescent="0.25">
      <c r="B8" s="13"/>
      <c r="E8" s="74" t="s">
        <v>143</v>
      </c>
      <c r="H8" s="14"/>
      <c r="T8" s="1" t="s">
        <v>13</v>
      </c>
    </row>
    <row r="9" spans="2:22" ht="15" customHeight="1" x14ac:dyDescent="0.25">
      <c r="B9" s="13"/>
      <c r="C9" s="21" t="s">
        <v>158</v>
      </c>
      <c r="D9" s="21" t="s">
        <v>23</v>
      </c>
      <c r="E9"/>
      <c r="F9" s="90" t="str">
        <f>"Seleccione una muestra de "&amp;V3&amp;" prejudiciales activos registrados antes de 1 de enero de 2022 y complete la siguiente tabla"</f>
        <v>Seleccione una muestra de 6 prejudiciales activos registrados antes de 1 de enero de 2022 y complete la siguiente tabla</v>
      </c>
      <c r="G9" s="91"/>
      <c r="H9" s="14"/>
      <c r="T9" s="1" t="s">
        <v>14</v>
      </c>
    </row>
    <row r="10" spans="2:22" x14ac:dyDescent="0.25">
      <c r="B10" s="13"/>
      <c r="C10" s="18" t="s">
        <v>174</v>
      </c>
      <c r="D10" s="68">
        <v>0</v>
      </c>
      <c r="E10"/>
      <c r="F10" s="92"/>
      <c r="G10" s="93"/>
      <c r="H10" s="14"/>
    </row>
    <row r="11" spans="2:22" x14ac:dyDescent="0.25">
      <c r="B11" s="13"/>
      <c r="C11" s="18" t="s">
        <v>52</v>
      </c>
      <c r="D11" s="68">
        <v>9</v>
      </c>
      <c r="E11"/>
      <c r="F11" s="22" t="s">
        <v>31</v>
      </c>
      <c r="G11" s="22" t="s">
        <v>54</v>
      </c>
      <c r="H11" s="14"/>
    </row>
    <row r="12" spans="2:22" x14ac:dyDescent="0.25">
      <c r="B12" s="13"/>
      <c r="C12" s="18" t="s">
        <v>159</v>
      </c>
      <c r="D12" s="68">
        <v>3</v>
      </c>
      <c r="E12"/>
      <c r="F12" s="30" t="s">
        <v>55</v>
      </c>
      <c r="G12" s="68">
        <v>0</v>
      </c>
      <c r="H12" s="14"/>
    </row>
    <row r="13" spans="2:22" x14ac:dyDescent="0.25">
      <c r="B13" s="13"/>
      <c r="C13" s="18" t="s">
        <v>161</v>
      </c>
      <c r="D13" s="68">
        <v>0</v>
      </c>
      <c r="E13"/>
      <c r="F13" s="18" t="s">
        <v>148</v>
      </c>
      <c r="G13" s="68">
        <v>6</v>
      </c>
      <c r="H13" s="14"/>
    </row>
    <row r="14" spans="2:22" x14ac:dyDescent="0.25">
      <c r="B14" s="13"/>
      <c r="C14" s="18" t="s">
        <v>160</v>
      </c>
      <c r="D14" s="68">
        <v>6</v>
      </c>
      <c r="E14"/>
      <c r="F14"/>
      <c r="G14"/>
      <c r="H14" s="14"/>
    </row>
    <row r="15" spans="2:22" x14ac:dyDescent="0.25">
      <c r="B15" s="13"/>
      <c r="E15"/>
      <c r="F15"/>
      <c r="G15"/>
      <c r="H15" s="14"/>
    </row>
    <row r="16" spans="2:22" x14ac:dyDescent="0.25">
      <c r="B16" s="13"/>
      <c r="C16" s="21" t="s">
        <v>147</v>
      </c>
      <c r="D16" s="21" t="s">
        <v>23</v>
      </c>
      <c r="E16"/>
      <c r="F16" s="110" t="s">
        <v>88</v>
      </c>
      <c r="G16" s="110"/>
      <c r="H16" s="14"/>
    </row>
    <row r="17" spans="2:8" x14ac:dyDescent="0.25">
      <c r="B17" s="13"/>
      <c r="C17" s="18" t="s">
        <v>179</v>
      </c>
      <c r="D17" s="68">
        <v>3</v>
      </c>
      <c r="E17"/>
      <c r="F17" s="106" t="s">
        <v>194</v>
      </c>
      <c r="G17" s="107"/>
      <c r="H17" s="14"/>
    </row>
    <row r="18" spans="2:8" x14ac:dyDescent="0.25">
      <c r="B18" s="13"/>
      <c r="C18" s="18" t="s">
        <v>187</v>
      </c>
      <c r="D18" s="68">
        <v>3</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Wf5KuS89gzAkE/zlROayh3GmR2VHv5jD9K3uyAQup5YkvfIVH9881Kz9QUlC5khUuPa2X9qKcAYrADqr5rDyTQ==" saltValue="pjCYByopMlSVTaLu5XMRt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143</v>
      </c>
      <c r="F7"/>
      <c r="G7"/>
      <c r="H7" s="14"/>
      <c r="T7" s="1" t="s">
        <v>13</v>
      </c>
    </row>
    <row r="8" spans="2:22" x14ac:dyDescent="0.25">
      <c r="B8" s="13"/>
      <c r="C8" s="21" t="s">
        <v>67</v>
      </c>
      <c r="D8" s="21" t="s">
        <v>23</v>
      </c>
      <c r="E8"/>
      <c r="F8" s="21" t="s">
        <v>67</v>
      </c>
      <c r="G8" s="21" t="s">
        <v>23</v>
      </c>
      <c r="H8" s="14"/>
      <c r="T8" s="1" t="s">
        <v>14</v>
      </c>
    </row>
    <row r="9" spans="2:22" x14ac:dyDescent="0.25">
      <c r="B9" s="13"/>
      <c r="C9" s="18" t="s">
        <v>175</v>
      </c>
      <c r="D9" s="68">
        <v>0</v>
      </c>
      <c r="E9"/>
      <c r="F9" s="18" t="s">
        <v>176</v>
      </c>
      <c r="G9" s="68">
        <v>0</v>
      </c>
      <c r="H9" s="14"/>
    </row>
    <row r="10" spans="2:22" x14ac:dyDescent="0.25">
      <c r="B10" s="13"/>
      <c r="C10" s="18" t="s">
        <v>180</v>
      </c>
      <c r="D10" s="68">
        <v>0</v>
      </c>
      <c r="E10"/>
      <c r="F10" s="18" t="s">
        <v>86</v>
      </c>
      <c r="G10" s="68">
        <v>0</v>
      </c>
      <c r="H10" s="14"/>
    </row>
    <row r="11" spans="2:22" x14ac:dyDescent="0.25">
      <c r="B11" s="13"/>
      <c r="D11" s="47"/>
      <c r="E11"/>
      <c r="G11" s="48"/>
      <c r="H11" s="14"/>
    </row>
    <row r="12" spans="2:22" x14ac:dyDescent="0.25">
      <c r="B12" s="13"/>
      <c r="C12" s="49" t="s">
        <v>90</v>
      </c>
      <c r="D12" s="47"/>
      <c r="E12"/>
      <c r="G12" s="48"/>
      <c r="H12" s="14"/>
      <c r="T12" s="1">
        <f>IF(D9="",0,1)</f>
        <v>1</v>
      </c>
    </row>
    <row r="13" spans="2:22" x14ac:dyDescent="0.25">
      <c r="B13" s="13"/>
      <c r="C13" s="111"/>
      <c r="D13" s="95"/>
      <c r="E13" s="95"/>
      <c r="F13" s="95"/>
      <c r="G13" s="96"/>
      <c r="H13" s="14"/>
    </row>
    <row r="14" spans="2:22" x14ac:dyDescent="0.25">
      <c r="B14" s="13"/>
      <c r="C14" s="97"/>
      <c r="D14" s="98"/>
      <c r="E14" s="98"/>
      <c r="F14" s="98"/>
      <c r="G14" s="99"/>
      <c r="H14" s="14"/>
    </row>
    <row r="15" spans="2:22" x14ac:dyDescent="0.25">
      <c r="B15" s="13"/>
      <c r="C15" s="97"/>
      <c r="D15" s="98"/>
      <c r="E15" s="98"/>
      <c r="F15" s="98"/>
      <c r="G15" s="99"/>
      <c r="H15" s="14"/>
    </row>
    <row r="16" spans="2:22" x14ac:dyDescent="0.25">
      <c r="B16" s="13"/>
      <c r="C16" s="100"/>
      <c r="D16" s="101"/>
      <c r="E16" s="101"/>
      <c r="F16" s="101"/>
      <c r="G16" s="102"/>
      <c r="H16" s="14"/>
      <c r="T16" s="1">
        <f>IF(G9="",0,1)</f>
        <v>1</v>
      </c>
    </row>
    <row r="17" spans="2:20" ht="15.75" thickBot="1" x14ac:dyDescent="0.3">
      <c r="B17" s="15"/>
      <c r="C17" s="16"/>
      <c r="D17" s="16"/>
      <c r="E17" s="16"/>
      <c r="F17" s="16"/>
      <c r="G17" s="16"/>
      <c r="H17" s="17"/>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zoomScale="85" zoomScaleNormal="85"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143</v>
      </c>
      <c r="F7" s="50" t="s">
        <v>90</v>
      </c>
      <c r="G7"/>
      <c r="H7" s="14"/>
      <c r="T7" s="1" t="s">
        <v>13</v>
      </c>
    </row>
    <row r="8" spans="2:22" x14ac:dyDescent="0.25">
      <c r="B8" s="13"/>
      <c r="C8" s="21" t="s">
        <v>30</v>
      </c>
      <c r="D8" s="21" t="s">
        <v>23</v>
      </c>
      <c r="E8"/>
      <c r="F8" s="106" t="s">
        <v>198</v>
      </c>
      <c r="G8" s="107"/>
      <c r="H8" s="14"/>
      <c r="T8" s="1" t="s">
        <v>14</v>
      </c>
    </row>
    <row r="9" spans="2:22" x14ac:dyDescent="0.25">
      <c r="B9" s="13"/>
      <c r="C9" s="18" t="s">
        <v>71</v>
      </c>
      <c r="D9" s="68" t="s">
        <v>12</v>
      </c>
      <c r="E9"/>
      <c r="F9" s="107"/>
      <c r="G9" s="107"/>
      <c r="H9" s="14"/>
    </row>
    <row r="10" spans="2:22" x14ac:dyDescent="0.25">
      <c r="B10" s="13"/>
      <c r="C10" s="18" t="s">
        <v>188</v>
      </c>
      <c r="D10" s="68" t="s">
        <v>13</v>
      </c>
      <c r="E10"/>
      <c r="F10" s="107"/>
      <c r="G10" s="107"/>
      <c r="H10" s="14"/>
    </row>
    <row r="11" spans="2:22" ht="15.75" thickBot="1" x14ac:dyDescent="0.3">
      <c r="B11" s="15"/>
      <c r="C11" s="16"/>
      <c r="D11" s="16"/>
      <c r="E11" s="16"/>
      <c r="F11" s="16"/>
      <c r="G11" s="16"/>
      <c r="H11" s="17"/>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5" priority="4">
      <formula>LEN(TRIM(D9))=0</formula>
    </cfRule>
  </conditionalFormatting>
  <conditionalFormatting sqref="D10">
    <cfRule type="containsBlanks" dxfId="4" priority="2">
      <formula>LEN(TRIM(D10))=0</formula>
    </cfRule>
  </conditionalFormatting>
  <conditionalFormatting sqref="F8">
    <cfRule type="containsBlanks" dxfId="3" priority="1">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zoomScale="85" zoomScaleNormal="85" workbookViewId="0">
      <selection activeCell="H13" sqref="H1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8" t="s">
        <v>10</v>
      </c>
      <c r="C2" s="118"/>
      <c r="D2" s="118"/>
      <c r="E2" s="118"/>
      <c r="F2" s="118"/>
      <c r="G2" s="118"/>
      <c r="H2" s="39"/>
      <c r="I2" s="39"/>
      <c r="J2" s="39"/>
      <c r="K2" s="39"/>
      <c r="L2" s="39"/>
      <c r="M2" s="40"/>
    </row>
    <row r="3" spans="2:13" ht="18.75" x14ac:dyDescent="0.3">
      <c r="B3" s="118" t="s">
        <v>11</v>
      </c>
      <c r="C3" s="118"/>
      <c r="D3" s="118"/>
      <c r="E3" s="118"/>
      <c r="F3" s="118"/>
      <c r="G3" s="118"/>
      <c r="H3" s="39"/>
      <c r="I3" s="39"/>
      <c r="J3" s="39"/>
      <c r="K3" s="39"/>
      <c r="L3" s="39"/>
      <c r="M3" s="40"/>
    </row>
    <row r="4" spans="2:13" ht="24" thickBot="1" x14ac:dyDescent="0.4">
      <c r="B4" s="35"/>
      <c r="C4" s="75"/>
      <c r="D4" s="75" t="s">
        <v>178</v>
      </c>
      <c r="E4" s="35"/>
      <c r="F4" s="35"/>
      <c r="G4" s="35"/>
      <c r="H4" s="35"/>
      <c r="I4" s="35"/>
      <c r="J4" s="35"/>
      <c r="K4" s="35"/>
      <c r="L4" s="35"/>
      <c r="M4" s="35"/>
    </row>
    <row r="5" spans="2:13" ht="15.75" thickBot="1" x14ac:dyDescent="0.3">
      <c r="B5" t="s">
        <v>183</v>
      </c>
      <c r="C5" s="112" t="s">
        <v>195</v>
      </c>
      <c r="D5" s="113"/>
      <c r="E5" s="113"/>
      <c r="F5" s="113"/>
      <c r="G5" s="114"/>
    </row>
    <row r="6" spans="2:13" ht="15.75" thickBot="1" x14ac:dyDescent="0.3">
      <c r="B6" t="s">
        <v>184</v>
      </c>
      <c r="C6" s="115" t="s">
        <v>191</v>
      </c>
      <c r="D6" s="116"/>
      <c r="E6" s="116"/>
      <c r="F6" s="116"/>
      <c r="G6" s="117"/>
    </row>
    <row r="8" spans="2:13" x14ac:dyDescent="0.25">
      <c r="B8" t="s">
        <v>37</v>
      </c>
      <c r="C8" s="38" t="str">
        <f>+IF(SUM(USUARIOS!I12:J17)=0,"Falta diligenciar","")</f>
        <v/>
      </c>
      <c r="E8" t="s">
        <v>74</v>
      </c>
      <c r="F8" s="38" t="str">
        <f>+IF(PREJUDICIALES!$D$10="","Falta  actualizar","")</f>
        <v/>
      </c>
    </row>
    <row r="9" spans="2:13" x14ac:dyDescent="0.25">
      <c r="B9" s="37" t="s">
        <v>40</v>
      </c>
      <c r="C9" s="73">
        <f>+SUM(USUARIOS!I12:I17)/(6-SUM(USUARIOS!H12:H17))</f>
        <v>1</v>
      </c>
      <c r="E9" s="37" t="s">
        <v>45</v>
      </c>
      <c r="F9" s="72">
        <f>+PREJUDICIALES!$D$11</f>
        <v>9</v>
      </c>
    </row>
    <row r="10" spans="2:13" x14ac:dyDescent="0.25">
      <c r="B10" s="37" t="s">
        <v>38</v>
      </c>
      <c r="C10" s="72">
        <f>+ABOGADOS!$D$12+SUM(USUARIOS!I12:I17)</f>
        <v>9</v>
      </c>
      <c r="E10" s="37" t="s">
        <v>43</v>
      </c>
      <c r="F10" s="73" t="str">
        <f>IFERROR(PREJUDICIALES!$D$11/PREJUDICIALES!$D$10,"")</f>
        <v/>
      </c>
    </row>
    <row r="11" spans="2:13" x14ac:dyDescent="0.25">
      <c r="B11" s="37" t="s">
        <v>9</v>
      </c>
      <c r="C11" s="72" t="s">
        <v>104</v>
      </c>
      <c r="E11" s="37" t="s">
        <v>46</v>
      </c>
      <c r="F11" s="73">
        <f>IFERROR(PREJUDICIALES!$G$13/PREJUDICIALES!$V$3,"")</f>
        <v>1</v>
      </c>
    </row>
    <row r="12" spans="2:13" x14ac:dyDescent="0.25">
      <c r="B12" s="37" t="s">
        <v>39</v>
      </c>
      <c r="C12" s="73">
        <f>IFERROR((ABOGADOS!$G$17+ABOGADOS!$G$18+ABOGADOS!$G$19*0.5)/ABOGADOS!D12,"")</f>
        <v>0.66666666666666663</v>
      </c>
    </row>
    <row r="13" spans="2:13" x14ac:dyDescent="0.25">
      <c r="E13" t="s">
        <v>67</v>
      </c>
      <c r="F13" s="38" t="str">
        <f>+IF(ARBITRAMENTOS!T17=0,"Falta  actualizar","")</f>
        <v/>
      </c>
    </row>
    <row r="14" spans="2:13" x14ac:dyDescent="0.25">
      <c r="B14" t="s">
        <v>73</v>
      </c>
      <c r="C14" s="38" t="str">
        <f>+IF(JUDICIALES!$D$11="","Falta  actualizar","")</f>
        <v/>
      </c>
      <c r="E14" s="37" t="s">
        <v>44</v>
      </c>
      <c r="F14" s="72">
        <f>+ARBITRAMENTOS!D10</f>
        <v>0</v>
      </c>
    </row>
    <row r="15" spans="2:13" x14ac:dyDescent="0.25">
      <c r="B15" s="37" t="s">
        <v>41</v>
      </c>
      <c r="C15" s="72">
        <f>+JUDICIALES!$D$12</f>
        <v>168</v>
      </c>
      <c r="E15" s="37" t="s">
        <v>43</v>
      </c>
      <c r="F15" s="73" t="str">
        <f>IFERROR(ARBITRAMENTOS!D10/ARBITRAMENTOS!D9,"")</f>
        <v/>
      </c>
    </row>
    <row r="16" spans="2:13" x14ac:dyDescent="0.25">
      <c r="B16" s="37" t="s">
        <v>43</v>
      </c>
      <c r="C16" s="73">
        <f>IFERROR(JUDICIALES!$D$12/JUDICIALES!$D$11,"")</f>
        <v>0.97674418604651159</v>
      </c>
    </row>
    <row r="17" spans="2:6" x14ac:dyDescent="0.25">
      <c r="B17" s="37" t="s">
        <v>47</v>
      </c>
      <c r="C17" s="73">
        <f>IFERROR(JUDICIALES!$G$11/JUDICIALES!$G$10,"")</f>
        <v>1</v>
      </c>
      <c r="E17" t="s">
        <v>70</v>
      </c>
      <c r="F17" s="38" t="str">
        <f>+IF(PAGOS!D9="","Falta  actualizar","")</f>
        <v/>
      </c>
    </row>
    <row r="18" spans="2:6" x14ac:dyDescent="0.25">
      <c r="B18" s="37" t="s">
        <v>42</v>
      </c>
      <c r="C18" s="72">
        <f>IFERROR(C15/ABOGADOS!$D$12,"")</f>
        <v>56</v>
      </c>
      <c r="E18" s="37" t="s">
        <v>186</v>
      </c>
      <c r="F18" s="72" t="str">
        <f>+IF(PAGOS!D10="No","No","Si")</f>
        <v>No</v>
      </c>
    </row>
    <row r="19" spans="2:6" x14ac:dyDescent="0.25">
      <c r="B19" s="37" t="s">
        <v>72</v>
      </c>
      <c r="C19" s="73">
        <f>IFERROR(1-(JUDICIALES!$H$22+JUDICIALES!$H$23+JUDICIALES!$H$24)/(JUDICIALES!$G$22+JUDICIALES!$G$23+JUDICIALES!$G$24),"")</f>
        <v>2.1276595744680882E-2</v>
      </c>
      <c r="E19" s="37" t="s">
        <v>182</v>
      </c>
      <c r="F19" s="72" t="str">
        <f>+IF(PAGOS!D9="No","No aplica","Si")</f>
        <v>Si</v>
      </c>
    </row>
    <row r="21" spans="2:6" ht="15.75" thickBot="1" x14ac:dyDescent="0.3"/>
    <row r="22" spans="2:6" x14ac:dyDescent="0.25">
      <c r="B22" s="2" t="s">
        <v>90</v>
      </c>
      <c r="C22" s="3"/>
      <c r="D22" s="3"/>
      <c r="E22" s="3"/>
      <c r="F22" s="4"/>
    </row>
    <row r="23" spans="2:6" x14ac:dyDescent="0.25">
      <c r="B23" s="94" t="s">
        <v>197</v>
      </c>
      <c r="C23" s="95"/>
      <c r="D23" s="95"/>
      <c r="E23" s="95"/>
      <c r="F23" s="96"/>
    </row>
    <row r="24" spans="2:6" x14ac:dyDescent="0.25">
      <c r="B24" s="97"/>
      <c r="C24" s="98"/>
      <c r="D24" s="98"/>
      <c r="E24" s="98"/>
      <c r="F24" s="99"/>
    </row>
    <row r="25" spans="2:6" x14ac:dyDescent="0.25">
      <c r="B25" s="97"/>
      <c r="C25" s="98"/>
      <c r="D25" s="98"/>
      <c r="E25" s="98"/>
      <c r="F25" s="99"/>
    </row>
    <row r="26" spans="2:6" x14ac:dyDescent="0.25">
      <c r="B26" s="100"/>
      <c r="C26" s="101"/>
      <c r="D26" s="101"/>
      <c r="E26" s="101"/>
      <c r="F26" s="102"/>
    </row>
    <row r="27" spans="2:6" x14ac:dyDescent="0.25">
      <c r="B27" t="s">
        <v>177</v>
      </c>
    </row>
    <row r="28" spans="2:6" x14ac:dyDescent="0.25">
      <c r="B28" t="s">
        <v>185</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xr:uid="{00000000-0002-0000-0700-000000000000}"/>
    <dataValidation allowBlank="1" showInputMessage="1" showErrorMessage="1" promptTitle="Nombre entidad que reporta" prompt="Diligenciar Nombre de entidad" sqref="C5:G5" xr:uid="{00000000-0002-0000-0700-000001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BI1" zoomScaleNormal="100" workbookViewId="0">
      <selection activeCell="BO3" sqref="B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108</v>
      </c>
      <c r="C2" s="63" t="s">
        <v>21</v>
      </c>
      <c r="D2" s="63" t="s">
        <v>22</v>
      </c>
      <c r="E2" s="63" t="s">
        <v>26</v>
      </c>
      <c r="F2" s="63" t="s">
        <v>20</v>
      </c>
      <c r="G2" s="63" t="s">
        <v>97</v>
      </c>
      <c r="H2" s="63" t="s">
        <v>98</v>
      </c>
      <c r="I2" s="64" t="s">
        <v>109</v>
      </c>
      <c r="J2" s="64" t="s">
        <v>110</v>
      </c>
      <c r="K2" s="64" t="s">
        <v>111</v>
      </c>
      <c r="L2" s="64" t="s">
        <v>112</v>
      </c>
      <c r="M2" s="64" t="s">
        <v>113</v>
      </c>
      <c r="N2" s="64" t="s">
        <v>114</v>
      </c>
      <c r="O2" s="64" t="s">
        <v>115</v>
      </c>
      <c r="P2" s="63" t="s">
        <v>27</v>
      </c>
      <c r="Q2" s="63" t="s">
        <v>28</v>
      </c>
      <c r="R2" s="63" t="s">
        <v>29</v>
      </c>
      <c r="S2" s="63" t="s">
        <v>116</v>
      </c>
      <c r="T2" s="63" t="s">
        <v>117</v>
      </c>
      <c r="U2" s="63" t="s">
        <v>35</v>
      </c>
      <c r="V2" s="63" t="s">
        <v>118</v>
      </c>
      <c r="W2" s="63" t="s">
        <v>81</v>
      </c>
      <c r="X2" s="63" t="s">
        <v>82</v>
      </c>
      <c r="Y2" s="63" t="s">
        <v>83</v>
      </c>
      <c r="Z2" s="63" t="s">
        <v>84</v>
      </c>
      <c r="AA2" s="63" t="s">
        <v>85</v>
      </c>
      <c r="AB2" s="64" t="s">
        <v>119</v>
      </c>
      <c r="AC2" s="64" t="s">
        <v>120</v>
      </c>
      <c r="AD2" s="64" t="s">
        <v>121</v>
      </c>
      <c r="AE2" s="63" t="s">
        <v>33</v>
      </c>
      <c r="AF2" s="63" t="s">
        <v>58</v>
      </c>
      <c r="AG2" s="63" t="s">
        <v>59</v>
      </c>
      <c r="AH2" s="63" t="s">
        <v>34</v>
      </c>
      <c r="AI2" s="63" t="s">
        <v>122</v>
      </c>
      <c r="AJ2" s="63" t="s">
        <v>123</v>
      </c>
      <c r="AK2" s="63" t="s">
        <v>124</v>
      </c>
      <c r="AL2" s="63" t="s">
        <v>125</v>
      </c>
      <c r="AM2" s="63" t="s">
        <v>126</v>
      </c>
      <c r="AN2" s="63" t="s">
        <v>127</v>
      </c>
      <c r="AO2" s="63" t="s">
        <v>128</v>
      </c>
      <c r="AP2" s="63" t="s">
        <v>129</v>
      </c>
      <c r="AQ2" s="65" t="s">
        <v>51</v>
      </c>
      <c r="AR2" s="65" t="s">
        <v>52</v>
      </c>
      <c r="AS2" s="65" t="s">
        <v>48</v>
      </c>
      <c r="AT2" s="65" t="s">
        <v>49</v>
      </c>
      <c r="AU2" s="65" t="s">
        <v>50</v>
      </c>
      <c r="AV2" s="65" t="s">
        <v>53</v>
      </c>
      <c r="AW2" s="65" t="s">
        <v>66</v>
      </c>
      <c r="AX2" s="65" t="s">
        <v>55</v>
      </c>
      <c r="AY2" s="65" t="s">
        <v>56</v>
      </c>
      <c r="AZ2" s="65" t="s">
        <v>68</v>
      </c>
      <c r="BA2" s="65" t="s">
        <v>69</v>
      </c>
      <c r="BB2" s="66" t="s">
        <v>130</v>
      </c>
      <c r="BC2" s="66" t="s">
        <v>86</v>
      </c>
      <c r="BD2" s="67" t="s">
        <v>131</v>
      </c>
      <c r="BE2" s="67" t="s">
        <v>132</v>
      </c>
      <c r="BF2" s="67" t="s">
        <v>133</v>
      </c>
      <c r="BG2" s="67" t="s">
        <v>134</v>
      </c>
      <c r="BH2" s="67" t="s">
        <v>135</v>
      </c>
      <c r="BI2" s="67" t="s">
        <v>136</v>
      </c>
      <c r="BJ2" s="67" t="s">
        <v>137</v>
      </c>
      <c r="BK2" s="67" t="s">
        <v>138</v>
      </c>
      <c r="BL2" s="67" t="s">
        <v>139</v>
      </c>
      <c r="BM2" s="67" t="s">
        <v>140</v>
      </c>
      <c r="BN2" s="67" t="s">
        <v>141</v>
      </c>
      <c r="BO2" s="67" t="s">
        <v>142</v>
      </c>
    </row>
    <row r="3" spans="1:67" x14ac:dyDescent="0.25">
      <c r="A3" s="60" t="str">
        <f>'Resumen General'!C5</f>
        <v>AGENCIA DE DESARROLLO RURAL</v>
      </c>
      <c r="B3" s="60" t="str">
        <f>'Resumen General'!C6</f>
        <v>WILSON GIOVANNY PATIÑO SUAREZ</v>
      </c>
      <c r="C3" s="60">
        <f>+ABOGADOS!D11</f>
        <v>2</v>
      </c>
      <c r="D3" s="60">
        <f>+ABOGADOS!D12</f>
        <v>3</v>
      </c>
      <c r="E3" s="60">
        <f>+ABOGADOS!D13</f>
        <v>2</v>
      </c>
      <c r="F3" s="60">
        <f>+ABOGADOS!D14</f>
        <v>0</v>
      </c>
      <c r="G3" s="60">
        <f>+ABOGADOS!D17</f>
        <v>0</v>
      </c>
      <c r="H3" s="60">
        <f>+ABOGADOS!D18</f>
        <v>0</v>
      </c>
      <c r="I3" s="60">
        <f>+ABOGADOS!G10</f>
        <v>3</v>
      </c>
      <c r="J3" s="60">
        <f>+ABOGADOS!G11</f>
        <v>3</v>
      </c>
      <c r="K3" s="60">
        <f>+ABOGADOS!G12</f>
        <v>3</v>
      </c>
      <c r="L3" s="60">
        <f>+ABOGADOS!G17</f>
        <v>2</v>
      </c>
      <c r="M3" s="60">
        <f>+ABOGADOS!G18</f>
        <v>0</v>
      </c>
      <c r="N3" s="60">
        <f>+ABOGADOS!G19</f>
        <v>0</v>
      </c>
      <c r="O3" s="60">
        <f>+ABOGADOS!G21</f>
        <v>0</v>
      </c>
      <c r="P3" s="60">
        <f>+JUDICIALES!D11</f>
        <v>172</v>
      </c>
      <c r="Q3" s="60">
        <f>+JUDICIALES!D12</f>
        <v>168</v>
      </c>
      <c r="R3" s="60">
        <f>+JUDICIALES!D13</f>
        <v>0</v>
      </c>
      <c r="S3" s="60">
        <f>+JUDICIALES!D16</f>
        <v>6</v>
      </c>
      <c r="T3" s="60">
        <f>+JUDICIALES!D17</f>
        <v>6</v>
      </c>
      <c r="U3" s="60">
        <f>+JUDICIALES!D21</f>
        <v>81</v>
      </c>
      <c r="V3" s="60">
        <f>+JUDICIALES!D22</f>
        <v>43</v>
      </c>
      <c r="W3" s="60">
        <f>JUDICIALES!D28</f>
        <v>6</v>
      </c>
      <c r="X3" s="60">
        <f>JUDICIALES!D29</f>
        <v>6</v>
      </c>
      <c r="Y3" s="60">
        <f>JUDICIALES!D30</f>
        <v>0</v>
      </c>
      <c r="Z3" s="60">
        <f>JUDICIALES!D31</f>
        <v>0</v>
      </c>
      <c r="AA3" s="60">
        <f>JUDICIALES!D32</f>
        <v>0</v>
      </c>
      <c r="AB3" s="60">
        <f>+JUDICIALES!G9</f>
        <v>3</v>
      </c>
      <c r="AC3" s="60">
        <f>+JUDICIALES!G10</f>
        <v>3</v>
      </c>
      <c r="AD3" s="60">
        <f>+JUDICIALES!G11</f>
        <v>3</v>
      </c>
      <c r="AE3" s="60">
        <f>+JUDICIALES!G15</f>
        <v>164</v>
      </c>
      <c r="AF3" s="60">
        <f>+JUDICIALES!G16</f>
        <v>160</v>
      </c>
      <c r="AG3" s="60">
        <f>+JUDICIALES!G17</f>
        <v>0</v>
      </c>
      <c r="AH3" s="60">
        <f>+JUDICIALES!G18</f>
        <v>4</v>
      </c>
      <c r="AI3" s="60">
        <f>+JUDICIALES!G21</f>
        <v>19</v>
      </c>
      <c r="AJ3" s="60">
        <f>+JUDICIALES!G22</f>
        <v>57</v>
      </c>
      <c r="AK3" s="60">
        <f>+JUDICIALES!G23</f>
        <v>58</v>
      </c>
      <c r="AL3" s="60">
        <f>+JUDICIALES!G24</f>
        <v>26</v>
      </c>
      <c r="AM3" s="60">
        <f>+JUDICIALES!H21</f>
        <v>8</v>
      </c>
      <c r="AN3" s="60">
        <f>+JUDICIALES!H22</f>
        <v>54</v>
      </c>
      <c r="AO3" s="60">
        <f>+JUDICIALES!H23</f>
        <v>58</v>
      </c>
      <c r="AP3" s="60">
        <f>+JUDICIALES!H24</f>
        <v>26</v>
      </c>
      <c r="AQ3" s="60">
        <f>+PREJUDICIALES!D10</f>
        <v>0</v>
      </c>
      <c r="AR3" s="60">
        <f>+PREJUDICIALES!D11</f>
        <v>9</v>
      </c>
      <c r="AS3" s="60">
        <f>+PREJUDICIALES!D12</f>
        <v>3</v>
      </c>
      <c r="AT3" s="60">
        <f>+PREJUDICIALES!D13</f>
        <v>0</v>
      </c>
      <c r="AU3" s="60">
        <f>+PREJUDICIALES!D14</f>
        <v>6</v>
      </c>
      <c r="AV3" s="60">
        <f>+PREJUDICIALES!D17</f>
        <v>3</v>
      </c>
      <c r="AW3" s="60">
        <f>+PREJUDICIALES!D18</f>
        <v>3</v>
      </c>
      <c r="AX3" s="60">
        <f>+PREJUDICIALES!G12</f>
        <v>0</v>
      </c>
      <c r="AY3" s="60">
        <f>+PREJUDICIALES!G13</f>
        <v>6</v>
      </c>
      <c r="AZ3" s="60">
        <f>+ARBITRAMENTOS!D9</f>
        <v>0</v>
      </c>
      <c r="BA3" s="60">
        <f>+ARBITRAMENTOS!D10</f>
        <v>0</v>
      </c>
      <c r="BB3" s="60">
        <f>ARBITRAMENTOS!G9</f>
        <v>0</v>
      </c>
      <c r="BC3" s="60">
        <f>ARBITRAMENTOS!G10</f>
        <v>0</v>
      </c>
      <c r="BD3" s="60" t="str">
        <f>+PAGOS!D9</f>
        <v>Si</v>
      </c>
      <c r="BE3" s="60" t="str">
        <f>+PAGOS!D10</f>
        <v>No</v>
      </c>
      <c r="BF3" s="61">
        <f>USUARIOS!D9</f>
        <v>44781</v>
      </c>
      <c r="BG3" s="61">
        <f>ABOGADOS!D7</f>
        <v>44781</v>
      </c>
      <c r="BH3" s="61">
        <f>JUDICIALES!D8</f>
        <v>44784</v>
      </c>
      <c r="BI3" s="60" t="str">
        <f>+USUARIOS!C19</f>
        <v>1. INGRESO Y RETIRO DE USUARIOS: De acuerdo con el reporte generado desde el sistema eKOGUI, se realizó actualización de los roles de “Jefe Financiero”, "Enlace de pagos", "jefe de Control Interno", y “Secretario Técnico del Comité de Conciliación”, no obstante, las personas que contaban con estos roles, se desvincularon de la Agencia en las siguientes fechas: Jefe financiero 31 de diciembre de 2020 y se actualizó el 25 de febrero de 2022, Enlace de pagos se retiró el 5 de abril de 2021 y se actualizó el 29 de marzo de 2022, Jefe de control interno se retiró el 4 de octubre de 2021 y se actualizó el 27 de enero de 2022 y el Secretario Técnico se designó el 19 de mayo de 2022 y se modificó el 20 de mayo de 2022
 2.CAPACITACIÓN: Se evidenció que respecto a los roles de “Enlace de Pagos” y “Secretario técnico”, aún no han realizado la capacitación.</v>
      </c>
      <c r="BJ3" s="60" t="str">
        <f>+ABOGADOS!C22</f>
        <v xml:space="preserve">1. INGRESO Y RETIRO DE USUARIOS: 
Durante el primer semestre de 2022, un usuario con rol de abogado presentó ausencia absoluta, esto como consecuencia de la terminación del contrato de prestación de servicios cuyo plazo de ejecución fue hasta el 31 de julio de 2021 , sin embargo continúa registrando "activo" dentro de la plataforma. 
De acuerdo con lo anterior,la Oficina juridica indicó: "(...)la inactivación del usuario no se pudo realizar directamente, el 2 de febrero se solicitó a soporte ekogui la colaboración para la inactivación desde la entidad y posteriormente esta solicitud fue reiterada el 18 de marzo de 2022, sin que a la fecha hayamos obtenido respuesta al respecto(…)”. </v>
      </c>
      <c r="BK3" s="60" t="str">
        <f>+JUDICIALES!F28</f>
        <v>PROCESOS ACTIVOS: La Oficina Jurídica registra cinco procesos más de los registrados en eKOGUI, de dos de ellos la Oficina Juridica indicó: radicado 08001333300320160010600 Registrado en ekogui con el número 427040, con estado terminado, sin embargo, el proceso se encuentra activo, razón por la cual el apoderado de la entidad se encuentra adelantando los trámites ante la ANDJE para que se corrija el equívoco y frente al radicado 15001233100420100136300, manifestaron "Se trata de una acción popular en etapa de cumplimiento de fallo, en la cual la entidad fue vinculada en audiencia como sucesora del INCODER, razón por la cual no debe registrarse en el sistema", de los 3 restantes no se obtuvo respuesta.
ACTUALIZACIÓN: Respecto a los 43 procesos activos con estado terminado, la Oficina Jurídica informó que 
 Diez y nueve (19) procesos no están terminados en Ekogui, toda vez que se encuentran gestionando lo pertinente para obtener las constancias de ejecutoria y poder finalizar estos procesos.
 Dos (2) procesos no están terminados porque se encuentran al despacho para proyecciones de sentencias.
 Once (11) no se han terminado porque están pendientes de los fallos de segunda instancia. 
 Uno (1) se encuentra gestionando el cobro de costas judiciales.
 Un (1) proceso se encuentra abierto ya que está pendiente de resolver aclaración de auto que decidió el incidente y para resolver solicitud de la ADR de requerimiento contra el actor popular.
 Siete (7) no se han terminado porque están pendientes de los fallos de primera instancia. 
 Un (1) proceso continúa registrando activo, toda vez que es una acción popular que se encuentra en cumplimiento de órdenes, mensualmente se presentan informes al respecto.          
 Un (1) proceso no se puede dar por terminado, toda vez que se encuentra en conflicto de competencias. 
CALIFICACIÓN DEL RIESGO: Cuatro procesos  no registran calificación del riesgo por contestación de la demanda en las siguientes fechas: 12, 13 y 14 de julio de 2022 y 22 de junio del mismo año.
PROVISIÓN CONTABLE: La Entidad registra combios en la provisión contable, un proceso que tenía probabilidad de pérdida "ALTA", pasó a "MEDIA", otro que estaba en "MEDIA", pasó a "ALTA".</v>
      </c>
      <c r="BL3" s="60" t="str">
        <f>+PREJUDICIALES!F17</f>
        <v>PREJUDICIALES ACTIVOS: Se tomó la muestra seleccionada de los 6 prejudiciales activos con registro anterior al 1 de enero de 2022 , para validar las terminadas y las que permanecen activas. Se presentaron las mismas seis (6) del reporte anterior:
ID 1405553: Duplicado con el 1379201, con el cual se gestionó en el sistema.
ID 1414697: Duplicado con el 1408285, con el cual se gestionó en el sistema.
ID 1423348: Duplicado con el 1422230, la cual se encuentra terminada.
ID 1449840 y 1421030: “La entidad no fue citada por la Procuraduría a la audiencia de conciliación, razón por la cual no hay documentos que acrediten que se hubiese admitido la misma por el ente de control y por ende no se ha podido terminar el proceso en eKOGUI. Esta situación fue excepcionada en la contestación de la demanda.”
ID 1461310: "Revisado el sistema eKOGUI, se pudo evidenciar que la conciliación extrajudicial identificada con el No. 1461310, se encuentra concluida como quiera que fue llevada al comité en el mes de abril"</v>
      </c>
      <c r="BM3" s="60">
        <f>+ARBITRAMENTOS!C13</f>
        <v>0</v>
      </c>
      <c r="BN3" s="60" t="str">
        <f>+PAGOS!F8</f>
        <v>La Oficina Jurídica a través del memorando 20222100027263 del 25 de julio de 2022, indicó que: “Durante el período objeto de reporte, la entidad en cumplimiento del auto de fecha 11 de mayo de 2022 proferido por el Tribunal Administrativo de Boyacá en el marco de la Acción Popular con radicado 15001233100020110003101 realizó 6 pagos por concepto del precio de los predios ubicados en el embalse la Copa, adquiridos por el extinto INCODER, el cual fue ordenado en el auto en mención.”, por un valor total de 81.696.300.</v>
      </c>
      <c r="BO3" s="60" t="str">
        <f>'Resumen General'!B23</f>
        <v>Activación e inactivación de usuarios: El Administrador del Sistema en la Entidad le corresponde realizar oportunamente las activaciones y desactivaciones de los usuarios según corresponda, de acuerdo con las novedades que presenten los usuarios en la Entidad.
Capacitaciones usuarios: Programar asistencia a capacitaciones en el rol asignado para los usuarios con rol Jefe Financiero, Enlace de Pagos y Secretario Técnico, con el fin de fortalecer las competencias y actualizarse en el funcionamiento de la versión 2.0 del sistema eKOGUI, que fue desplegada desde el mes de abril de 2019, así como la implementación del módulo de relación de pagos y la mejora de los módulos de registro y actualización de procesos judiciales y gestión de los Comités de Conciliación. De otra parte, se recomienda solicitar semestralmente a la ANDJE la capacitación para todos los usuarios; así como velar para que sea recibida oportunamente
Procesos Judiciales y Prejudiciales: El Administrador del Sistema en la Entidad debe continuar con los trámites ante la ANDJE para la eliminación del proceso ID eKOGUI 2161854 y las conciliaciones extrajudiciales que registran como activas en el sistema duplicadas y que ya se encuentran terminadas en la Entidad, así como actualizar lo pertinente en el sistema para que los reportes reflejen su estado real.</v>
      </c>
    </row>
    <row r="12" spans="1:67" x14ac:dyDescent="0.25">
      <c r="A12" s="60" t="s">
        <v>36</v>
      </c>
      <c r="B12" s="60" t="s">
        <v>15</v>
      </c>
      <c r="C12" s="63" t="s">
        <v>16</v>
      </c>
      <c r="D12" s="63" t="s">
        <v>6</v>
      </c>
      <c r="E12" s="63" t="s">
        <v>7</v>
      </c>
      <c r="F12" s="63" t="s">
        <v>17</v>
      </c>
      <c r="G12" s="63" t="s">
        <v>76</v>
      </c>
    </row>
    <row r="13" spans="1:67" x14ac:dyDescent="0.25">
      <c r="A13" s="60" t="str">
        <f t="shared" ref="A13:A18" si="0">$A$3</f>
        <v>AGENCIA DE DESARROLLO RURAL</v>
      </c>
      <c r="B13" s="60" t="s">
        <v>0</v>
      </c>
      <c r="C13" s="60" t="str">
        <f>USUARIOS!C12</f>
        <v>Si</v>
      </c>
      <c r="D13" s="62">
        <f>USUARIOS!D12</f>
        <v>44617</v>
      </c>
      <c r="E13" s="60" t="str">
        <f>USUARIOS!E12</f>
        <v>OLIVA BARRIOS AGUDELO</v>
      </c>
      <c r="F13" s="62">
        <f>USUARIOS!F12</f>
        <v>44712</v>
      </c>
      <c r="G13" s="60" t="str">
        <f>USUARIOS!G12</f>
        <v/>
      </c>
    </row>
    <row r="14" spans="1:67" x14ac:dyDescent="0.25">
      <c r="A14" s="60" t="str">
        <f t="shared" si="0"/>
        <v>AGENCIA DE DESARROLLO RURAL</v>
      </c>
      <c r="B14" s="60" t="s">
        <v>1</v>
      </c>
      <c r="C14" s="60" t="str">
        <f>USUARIOS!C13</f>
        <v>Si</v>
      </c>
      <c r="D14" s="62">
        <f>USUARIOS!D13</f>
        <v>44259</v>
      </c>
      <c r="E14" s="60" t="str">
        <f>USUARIOS!E13</f>
        <v>MARISOL OROZCO GIRALDO</v>
      </c>
      <c r="F14" s="62">
        <f>USUARIOS!F13</f>
        <v>44673</v>
      </c>
      <c r="G14" s="60" t="str">
        <f>USUARIOS!G13</f>
        <v/>
      </c>
    </row>
    <row r="15" spans="1:67" x14ac:dyDescent="0.25">
      <c r="A15" s="60" t="str">
        <f t="shared" si="0"/>
        <v>AGENCIA DE DESARROLLO RURAL</v>
      </c>
      <c r="B15" s="60" t="s">
        <v>2</v>
      </c>
      <c r="C15" s="60" t="str">
        <f>USUARIOS!C14</f>
        <v>Si</v>
      </c>
      <c r="D15" s="62">
        <f>USUARIOS!D14</f>
        <v>44649</v>
      </c>
      <c r="E15" s="60" t="str">
        <f>USUARIOS!E14</f>
        <v>CLAUDIA PATRICIA SALDAÑA OSORIO</v>
      </c>
      <c r="F15" s="62">
        <f>USUARIOS!F14</f>
        <v>0</v>
      </c>
      <c r="G15" s="60" t="str">
        <f>USUARIOS!G14</f>
        <v>DESACTUALIZADO</v>
      </c>
    </row>
    <row r="16" spans="1:67" x14ac:dyDescent="0.25">
      <c r="A16" s="60" t="str">
        <f t="shared" si="0"/>
        <v>AGENCIA DE DESARROLLO RURAL</v>
      </c>
      <c r="B16" s="60" t="s">
        <v>3</v>
      </c>
      <c r="C16" s="60" t="str">
        <f>USUARIOS!C15</f>
        <v>Si</v>
      </c>
      <c r="D16" s="62">
        <f>USUARIOS!D15</f>
        <v>44588</v>
      </c>
      <c r="E16" s="60" t="str">
        <f>USUARIOS!E15</f>
        <v>WILSON GIOVANNY PATIÑO SUAREZ</v>
      </c>
      <c r="F16" s="62">
        <f>USUARIOS!F15</f>
        <v>44775</v>
      </c>
      <c r="G16" s="60" t="str">
        <f>USUARIOS!G15</f>
        <v/>
      </c>
    </row>
    <row r="17" spans="1:7" x14ac:dyDescent="0.25">
      <c r="A17" s="60" t="str">
        <f t="shared" si="0"/>
        <v>AGENCIA DE DESARROLLO RURAL</v>
      </c>
      <c r="B17" s="60" t="s">
        <v>4</v>
      </c>
      <c r="C17" s="60" t="str">
        <f>USUARIOS!C16</f>
        <v>Si</v>
      </c>
      <c r="D17" s="62">
        <f>USUARIOS!D16</f>
        <v>44701</v>
      </c>
      <c r="E17" s="60" t="str">
        <f>USUARIOS!E16</f>
        <v>HERNANDO ENRIQUE SANTOS IRIARTE</v>
      </c>
      <c r="F17" s="62">
        <f>USUARIOS!F16</f>
        <v>0</v>
      </c>
      <c r="G17" s="60" t="str">
        <f>USUARIOS!G16</f>
        <v>DESACTUALIZADO</v>
      </c>
    </row>
    <row r="18" spans="1:7" x14ac:dyDescent="0.25">
      <c r="A18" s="60" t="str">
        <f t="shared" si="0"/>
        <v>AGENCIA DE DESARROLLO RURAL</v>
      </c>
      <c r="B18" s="60" t="s">
        <v>5</v>
      </c>
      <c r="C18" s="60" t="str">
        <f>USUARIOS!C17</f>
        <v>Si</v>
      </c>
      <c r="D18" s="62">
        <f>USUARIOS!D17</f>
        <v>44629</v>
      </c>
      <c r="E18" s="60" t="str">
        <f>USUARIOS!E17</f>
        <v>ROSA ESTELA PADRON BARRETO</v>
      </c>
      <c r="F18" s="62">
        <f>USUARIOS!F17</f>
        <v>44673</v>
      </c>
      <c r="G18" s="60" t="str">
        <f>USUARIOS!G17</f>
        <v/>
      </c>
    </row>
  </sheetData>
  <sheetProtection algorithmName="SHA-512" hashValue="OkHp+4/XyQ417CCrePCpuKk2J4yoW2NaRqgvmIK3t20ri1bTnLcw34YVhufy/GP0yo2lXzq+J5H4Wh5cptbQxg==" saltValue="CCA9SvlNPlPw9E6zyIvQQw==" spinCount="100000" sheet="1" objects="1" scenarios="1"/>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Claudia Pinzon</cp:lastModifiedBy>
  <dcterms:created xsi:type="dcterms:W3CDTF">2020-06-25T21:16:25Z</dcterms:created>
  <dcterms:modified xsi:type="dcterms:W3CDTF">2022-08-18T23:06:43Z</dcterms:modified>
</cp:coreProperties>
</file>