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showInkAnnotation="0" codeName="ThisWorkbook" defaultThemeVersion="166925"/>
  <mc:AlternateContent xmlns:mc="http://schemas.openxmlformats.org/markup-compatibility/2006">
    <mc:Choice Requires="x15">
      <x15ac:absPath xmlns:x15ac="http://schemas.microsoft.com/office/spreadsheetml/2010/11/ac" url="d:\Users\Claudia Pinzon\Desktop\INFORMES REVISADOS ADR\EKOGUI\"/>
    </mc:Choice>
  </mc:AlternateContent>
  <xr:revisionPtr revIDLastSave="0" documentId="13_ncr:1_{D1ACC072-756A-4D31-B1C4-982DDEA1D300}" xr6:coauthVersionLast="47" xr6:coauthVersionMax="47" xr10:uidLastSave="{00000000-0000-0000-0000-000000000000}"/>
  <bookViews>
    <workbookView xWindow="-120" yWindow="-120" windowWidth="20730" windowHeight="11040" tabRatio="777" activeTab="7"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PAGOS" sheetId="11" r:id="rId7"/>
    <sheet name="Resumen General" sheetId="5" r:id="rId8"/>
    <sheet name="Base a pegar" sheetId="12" state="hidden"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O3" i="12"/>
  <c r="N3" i="12"/>
  <c r="M3" i="12"/>
  <c r="L3" i="12"/>
  <c r="K3" i="12"/>
  <c r="J3" i="12"/>
  <c r="I3" i="12"/>
  <c r="H3" i="12"/>
  <c r="G3" i="12"/>
  <c r="F3" i="12"/>
  <c r="E3" i="12"/>
  <c r="D3" i="12"/>
  <c r="C3" i="12"/>
  <c r="B3" i="12"/>
  <c r="A13" i="12" l="1"/>
  <c r="A17" i="12"/>
  <c r="A15" i="12"/>
  <c r="A14" i="12"/>
  <c r="A16" i="12"/>
  <c r="C12" i="5" l="1"/>
  <c r="V3" i="7"/>
  <c r="G14" i="1" l="1"/>
  <c r="G15" i="12" s="1"/>
  <c r="G13" i="1"/>
  <c r="G14" i="12" s="1"/>
  <c r="G15" i="1"/>
  <c r="G16" i="12" s="1"/>
  <c r="G16" i="1"/>
  <c r="G17" i="12" s="1"/>
  <c r="G17" i="1"/>
  <c r="G18" i="12" s="1"/>
  <c r="G12" i="1"/>
  <c r="G13" i="12" s="1"/>
  <c r="F17" i="5" l="1"/>
  <c r="F15" i="5"/>
  <c r="F10" i="5"/>
  <c r="C19" i="5"/>
  <c r="C17" i="5"/>
  <c r="C16" i="5"/>
  <c r="T16" i="10"/>
  <c r="T12" i="10"/>
  <c r="W3" i="8"/>
  <c r="C25" i="8" s="1"/>
  <c r="T17" i="10" l="1"/>
  <c r="F13" i="5" s="1"/>
  <c r="V2" i="9"/>
  <c r="V3" i="9" s="1"/>
  <c r="F9" i="9" s="1"/>
  <c r="F11" i="5" l="1"/>
  <c r="F19" i="5"/>
  <c r="F18" i="5"/>
  <c r="F14" i="5"/>
  <c r="F9" i="5"/>
  <c r="F8" i="5"/>
  <c r="C14" i="5"/>
  <c r="C15" i="5"/>
  <c r="C18" i="5" s="1"/>
  <c r="J13" i="1"/>
  <c r="J14" i="1"/>
  <c r="J15" i="1"/>
  <c r="J16" i="1"/>
  <c r="J17" i="1"/>
  <c r="J12" i="1"/>
  <c r="I12" i="1"/>
  <c r="I13" i="1"/>
  <c r="I14" i="1"/>
  <c r="I15" i="1"/>
  <c r="I16" i="1"/>
  <c r="I17" i="1"/>
  <c r="H13" i="1"/>
  <c r="H14" i="1"/>
  <c r="H15" i="1"/>
  <c r="H16" i="1"/>
  <c r="H17" i="1"/>
  <c r="H12" i="1"/>
  <c r="C10" i="5" l="1"/>
  <c r="C9" i="5"/>
  <c r="C8" i="5"/>
  <c r="V3" i="11" l="1"/>
  <c r="V3" i="10"/>
  <c r="F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Pablo Garzón Peraza</author>
  </authors>
  <commentList>
    <comment ref="C21" authorId="0" shapeId="0" xr:uid="{00000000-0006-0000-0300-00000100000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<sst xmlns="http://schemas.openxmlformats.org/spreadsheetml/2006/main" count="274" uniqueCount="197">
  <si>
    <t>JEFE FINANCIERO</t>
  </si>
  <si>
    <t>JEFE JURÍDICO</t>
  </si>
  <si>
    <t>ENLACE DE PAGOS</t>
  </si>
  <si>
    <t>JEFE CONTROL INTERNO</t>
  </si>
  <si>
    <t>SECRETARIO TÉCNICO</t>
  </si>
  <si>
    <t>ADMINISTRADOR DE LA ENTIDAD</t>
  </si>
  <si>
    <t>FECHA CREACIÓN  EN EKOGUI</t>
  </si>
  <si>
    <t>NOMBRE</t>
  </si>
  <si>
    <t>Pagos</t>
  </si>
  <si>
    <t>Uso del sistema</t>
  </si>
  <si>
    <t>Plantilla de certificado de Control Interno</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</si>
  <si>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</si>
  <si>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</si>
  <si>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</si>
  <si>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</si>
  <si>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</si>
  <si>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</si>
  <si>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</si>
  <si>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</si>
  <si>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</si>
  <si>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</si>
  <si>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</si>
  <si>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</si>
  <si>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</si>
  <si>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</si>
  <si>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</si>
  <si>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</si>
  <si>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de más de 33.000 SMMLV</t>
  </si>
  <si>
    <t>CANTIDAD DE PROCESOS ACTIVOS</t>
  </si>
  <si>
    <t>PROCESOS ACTIVOS REGISTRADOS EN EKOGUI</t>
  </si>
  <si>
    <t>PROCESOS SIN ABOGADO ASIGNADO</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</si>
  <si>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</si>
  <si>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</si>
  <si>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</si>
  <si>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</si>
  <si>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</si>
  <si>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</si>
  <si>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</si>
  <si>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</si>
  <si>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</si>
  <si>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</si>
  <si>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</si>
  <si>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</si>
  <si>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</si>
  <si>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</si>
  <si>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</si>
  <si>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</si>
  <si>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</si>
  <si>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Pagos relacionados</t>
  </si>
  <si>
    <t>Uso del módulo pagos</t>
  </si>
  <si>
    <t>Actualización más de 33.000 SMMLV</t>
  </si>
  <si>
    <t>REGISTRO EN 2020</t>
  </si>
  <si>
    <t>REGISTRO EN 2019</t>
  </si>
  <si>
    <t>REGISTRO EN 2018 Y ANTERIORES</t>
  </si>
  <si>
    <t>TOTAL PREJUDICIALES ACTIVOS</t>
  </si>
  <si>
    <t>TOTAL PREJUDICIALES ACTIVOS EN EKOGUI</t>
  </si>
  <si>
    <t>TOTAL PROCESOS TERMINADOS</t>
  </si>
  <si>
    <t>CANTIDAD PREJUDICIALES</t>
  </si>
  <si>
    <t>Procesos que efectivamente se encuentran activos</t>
  </si>
  <si>
    <t>Proceso que se encuentran terminados</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</si>
  <si>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</si>
  <si>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</si>
  <si>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</si>
  <si>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</si>
  <si>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</si>
  <si>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</si>
  <si>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</si>
  <si>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CON PROVISIÓN IGUAL A CERO</t>
  </si>
  <si>
    <t>Procesos Judiciales</t>
  </si>
  <si>
    <t>TERMINADOS ÚLTIMA ACTUACIÓN EN 2020</t>
  </si>
  <si>
    <t>ARBITRAMENTOS</t>
  </si>
  <si>
    <t>ARBITRAMENTOS ACTIVOS</t>
  </si>
  <si>
    <t>ARBITRAMENTOS REGISTRADOS EN EKOGUI</t>
  </si>
  <si>
    <t>PAGOS</t>
  </si>
  <si>
    <t>Gestiona pagos en SIIF de MinHacienda</t>
  </si>
  <si>
    <t>Provisión incorrecta</t>
  </si>
  <si>
    <t>JUDICIALES</t>
  </si>
  <si>
    <t>PREJUDICIALES</t>
  </si>
  <si>
    <t>Plantilla de certificado de Control Interno eKOGUI</t>
  </si>
  <si>
    <t>ACTUALIZADO</t>
  </si>
  <si>
    <t>Entre 21-03-2019 y 31-12-2019</t>
  </si>
  <si>
    <t>PROCESOS SIN ABOGADO ASIGNADO(1)</t>
  </si>
  <si>
    <t>PROCESOS ACTIVOS CON ESTADO TERMINADO(3)</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</si>
  <si>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</si>
  <si>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</si>
  <si>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</si>
  <si>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</si>
  <si>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</si>
  <si>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</si>
  <si>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</si>
  <si>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</si>
  <si>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</si>
  <si>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</si>
  <si>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</si>
  <si>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</si>
  <si>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 información estudios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</si>
  <si>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</si>
  <si>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</si>
  <si>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</si>
  <si>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</si>
  <si>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</si>
  <si>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</si>
  <si>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</si>
  <si>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</si>
  <si>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</si>
  <si>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</si>
  <si>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</si>
  <si>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</si>
  <si>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</si>
  <si>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USUARIOS ACTIVOS</t>
  </si>
  <si>
    <t>Posteriores al 01-01-2020</t>
  </si>
  <si>
    <t>Fecha de diligenciamiento de plantilla</t>
  </si>
  <si>
    <t>NOMBRE JEFE CONTROL INTERNO</t>
  </si>
  <si>
    <t>(2) Con fecha de actuación en 2021</t>
  </si>
  <si>
    <t>TIENE INFORMACIÓN ESTUDIOS</t>
  </si>
  <si>
    <t>TIENEN INFORMACIÓN EXPERIENCIA</t>
  </si>
  <si>
    <t>TIENEN INFORMACIÓN LABORAL</t>
  </si>
  <si>
    <t>POSTERIORES AL 01-01-2020</t>
  </si>
  <si>
    <t>ENTRE 21-03-2019 Y 31-12-2019</t>
  </si>
  <si>
    <t>CAPACITACIONES ANTERIORES AL 21-03-2019</t>
  </si>
  <si>
    <t>SIN CAPACITACIÓN</t>
  </si>
  <si>
    <t>PROCESOS TERMINADOS PERIODO</t>
  </si>
  <si>
    <t>TERMINADOS PERIODO EN EKOGUI</t>
  </si>
  <si>
    <t>PROCESOS ACTIVOS CON ESTADO TERMINADO</t>
  </si>
  <si>
    <t>CANTIDAD DE PROCESOS DE MÁS DE 33.000 SMMLV</t>
  </si>
  <si>
    <t>PROCESOS DE MÁS DE 33.000 SMMLV REGISTRADOS EN EKOGUI</t>
  </si>
  <si>
    <t xml:space="preserve">PROCESOS DE MÁS DE 33.000 SMMLV CON LA PIEZA DEMANDA </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</si>
  <si>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</si>
  <si>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</si>
  <si>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</si>
  <si>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</si>
  <si>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</si>
  <si>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</si>
  <si>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</si>
  <si>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</si>
  <si>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</si>
  <si>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</si>
  <si>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</si>
  <si>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</si>
  <si>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</si>
  <si>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</si>
  <si>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</si>
  <si>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</si>
  <si>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</si>
  <si>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</si>
  <si>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</si>
  <si>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</si>
  <si>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</si>
  <si>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Favor Diligenciar los Campos Resaltados</t>
  </si>
  <si>
    <t>Abogados al 31 de diciembre de 2021</t>
  </si>
  <si>
    <t>ABOGADOS ACTIVOS AL 31-12-2021</t>
  </si>
  <si>
    <t>PROCESOS ACTIVOS AL 31 DE DICIEMBRE DE 2021</t>
  </si>
  <si>
    <t>(1) Con fecha de registro anterior al 15-12-2021</t>
  </si>
  <si>
    <t>PROCESOS TERMINADOS SEGUNDO SEMESTRE 2021</t>
  </si>
  <si>
    <t>PROCESOS TERMINADOS DURANTE SEGUNDO SEMESTRE 2021</t>
  </si>
  <si>
    <t>TERMINADOS EN EKOGUI DURANTE SEGUNDO SEMESTRE 2021 (2)</t>
  </si>
  <si>
    <t>PROCESO TERMINADOS AL 31 DE DICIEMBRE 2021</t>
  </si>
  <si>
    <r>
      <t>(3)En el reporte de activos al 31 de diciembre verifique la columna</t>
    </r>
    <r>
      <rPr>
        <b/>
        <i/>
        <sz val="9"/>
        <color theme="1"/>
        <rFont val="Calibri"/>
        <family val="2"/>
        <scheme val="minor"/>
      </rPr>
      <t xml:space="preserve"> Estado General del proceso</t>
    </r>
  </si>
  <si>
    <t>(4)Equivalente a un valor indexado de $29.981 millones a 31 de diciembre de 2021</t>
  </si>
  <si>
    <t>PROCESOS ACTIVOS EN CALIDAD DEMANDADO AL 31-12-2021</t>
  </si>
  <si>
    <t>PROCESOS CON CALIFICACIÓN SEGUNDO SEMESTRE 2021</t>
  </si>
  <si>
    <t>PROCESOS CON CALIFICACIÓN ANTERIOR A 30-06-2021</t>
  </si>
  <si>
    <t>(6) Solo se consideran los procesos activos - calidad demandado al 31 de DICIEMBRE de 2021 que tengan calificación de riesgo</t>
  </si>
  <si>
    <t># PROCESOS</t>
  </si>
  <si>
    <t>REGISTRO POSTERIOR AL 01/07/2021</t>
  </si>
  <si>
    <t>REGISTRO EN 2020 Y ANTERIORES</t>
  </si>
  <si>
    <t>TOTAL PREJUDICIALES TERMINADOS II SEM. 2021</t>
  </si>
  <si>
    <t>TERMINADOS ÚLTIMA ACTUACIÓN II SEM. 2021</t>
  </si>
  <si>
    <t>ARBITRAMENTOS ACTIVOS AL 31-12-2021</t>
  </si>
  <si>
    <t>TOTAL ARBITRAMENTOS TERMINADOS  AL 31-12-2021</t>
  </si>
  <si>
    <t>NOMBRE ENTIDAD</t>
  </si>
  <si>
    <t>NOMBRE Y APELLIDO JEFE CONTROL INTERNO</t>
  </si>
  <si>
    <t>Favor Diligenciar los Campos Resaltados y Revisar la Información Incompleta Antes de Remitir a la ANDJE</t>
  </si>
  <si>
    <t>Pagos enlazados al 31-12-2021</t>
  </si>
  <si>
    <t>Favor Diligenciar los campos Resaltados</t>
  </si>
  <si>
    <t>RETIRADOS EN LA ENTIDAD SEGUNDO SEMESTRE 2021</t>
  </si>
  <si>
    <t>INACTIVADOS EN EKOGUI SEGUNDO SEMESTRE 2021</t>
  </si>
  <si>
    <t>Conciliaciones Prejudiciales</t>
  </si>
  <si>
    <t>PREJUDICIALES ACTIVAS AL 31-12-2021</t>
  </si>
  <si>
    <t>PREJUDICIALES TERMINADAS SEGUNDO SEMESTRE 2021</t>
  </si>
  <si>
    <t>Procesos que se encuentran terminados</t>
  </si>
  <si>
    <t>REGISTRO ENTRE 1 DE ENERO Y 30 DE JUNIO 2021</t>
  </si>
  <si>
    <t>LINA MARIA VELANDIA RIOS</t>
  </si>
  <si>
    <t>HERNANDO ALBERTO ROCHA JULIAO</t>
  </si>
  <si>
    <t>WILSON GIOVANNY PATIÑO SUAREZ</t>
  </si>
  <si>
    <t>EDUARDO ALBERTO URICOHECHEA TORRES</t>
  </si>
  <si>
    <t>ROSA ESTELA PADRON BARRETO</t>
  </si>
  <si>
    <t xml:space="preserve">1. INGRESO Y RETIRO DE USUARIOS: 
Durante el segundo semestre de 2021, un usuario con rol de abogado presentó ausencia absoluta, esto como consecuencia de la terminación del contrato de prestación de servicios cuyo plazo de ejecución fue hasta el 31 de julio de 2021 , sin embargo continúa registrando "activo" dentro de la plataforma. </t>
  </si>
  <si>
    <t>AGENCIA DE DESARROLLO RURAL</t>
  </si>
  <si>
    <t>Wilson Giovanny Patiño Suarez</t>
  </si>
  <si>
    <t>La Secretaría General a través de memorando 20226100008353 del 1 de febrero de 2022, manifestó que “La Agencia de Desarrollo Rural-ADR, durante la vigencia 2021, no realizo ningún desembolso por concepto de sentencias, conciliaciones y/o laudos arbitrales, información que se puede verificar a través de la ejecución del rubro presupuestal destinado para la atención de los conceptos de gasto detallados anteriormente.”
De otra parte, la Oficina Jurídica a través del memorando 20222100008393 del 1 de febrero de 2022, indicó que “Durante el período objeto de reporte, la entidad no realizó ningún pago por concepto de sentencias condenatorias, conciliaciones y/o laudos arbitrales.”
Considerando que durante el segundo semestre de 2021 no se hicieron pagos, consultado el sistema eKOGUI no aparece información registrada de pagos.</t>
  </si>
  <si>
    <t>PROCESOS ACTIVOS: En el sistema se encontraban registrados 165 procesos activos. La Oficina Jurídica registra 10 procesos más en su base de datos que no se encuentran registrados en el sistema eKOGUI, al respecto de 7 procesos informó que se encuentran en “Proceso en verificación de la vinculación de la ADR”, 2 se encontraban en término para contestar la demanda y 1 se encuentra pendiente de la admisión de la demanda para registrar en el sistema.
PROCESOS TERMINADOS: Se evidenció por parte de la Oficina de Control Interno que en el primer semestre 2021 se identificaron 72 procesos terminados, es decir que para el segundo periodo 2021 se realizaron 3 terminaciones, al respecto la Oficina Jurídica informó que “Revisada la base de datos de procesos de la entidad, se pudo confirmar que durante el segundo semestre de 2021 solo fuimos notificados de una sentencia de segunda instancia en el proceso con radicado  No. 15693333100220120003900, favorable para la entidad, la cual se encuentra ejecutoriada.
Durante el periodo informado la entidad no fue notificada de terminación de proceso en los cuales estuviera vinculado. Es probable que la diferencia de los tres procesos con estado terminado, entre el informe anterior y el actual, obedezca a que otras entidades hayan dado por terminados estos tres procesos.
PROCESOS SIN ABOGADO ASIGNADO: Se identificó 1 proceso sin asignación de abogado, al respecto la Oficina Jurídica informó que “El proceso con radicado 5045312100220201380000, se encuentra en proceso de eliminación por parte de la ANDJE, comoquiera que de acuerdo con sus instrucciones mientras la entidad no sea parte en estos procesos, no debemos registrarlos en nuestra cuenta, razón por la cual no cuenta con abogado asignado.”
PROCESOS ACTIVOS CON ESTADO TERMINADO: Se identificaron 35 procesos activos con estado terminado, al respecto la Oficina Jurídica suministró el estado actual de cada uno de los procesos y manifestó: "(...) que, de los 35 procesos, solo en 8 de ellos se podrían dar por terminado, sin embargo continuan en trámite de la constancia de ejecutoria, y los demás se encuentran a la espera de la expedición por parte de los despachos judiciales de los documentos idóneos que permitan terminar los procesos en el sistema.
CALIFICACIÓN DE RIESGO: Se evidenciaron 4 procesos sin calificación del riesgo. Al respecto, la Oficina Jurídica informó de los procesos con ID 2254181, 2106551 y 2178247 se encontraban para la fecha de corte del presente informe en término para contestar la demanda, razón por la cual la calificación del riesgo se realizó con posterioridad a esta actuación de la entidad
PROVISIÓN CONTABLE: La Entidad registra 8 casos con probabilidad de pérdida "ALTA" y provisión contable con valor cero, porque el valor económico registrado para tales procesos también es cero.</t>
  </si>
  <si>
    <t>PREJUDICIALES ACTIVOS: Se tomó la muestra seleccionada de los 6 prejudiciales activos con registro anterior al 1 de julio de 2021 , para validar las terminadas y las que permanecen activas. Se solicitó la información a la Oficina Jurídica y reportó lo siguiente:
ID 1405553: Duplicado con el 1379201, con el cual se gestionó en el sistema.
ID 1414697: Duplicado con el 1408285, con el cual se gestionó en el sistema.
ID 1423348: Duplicado con el 1422230, la cual se encuentra terminada.
ID 1449840 y 1421030: “La entidad no fue citada por la Procuraduría a la audiencia de conciliación, razón por la cual no hay documentos que acrediten que se hubiese admitido la misma por el ente de control y por ende no se ha podido terminar el proceso en eKOGUI. Esta situación fue excepcionada en la contestación de la demanda.”
ID 1461310: "Revisado el sistema eKOGUI, se pudo evidenciar que la conciliación extrajudicial identificada con el No. 1461310, se encuentra concluida como quiera que fue llevada al comité en el mes de abril"
PREJUDICIALES TERMINADOS: Se observó que  procesos 5 prejudiciales terminaron en el segundo semestre 2021, de los cuales sólo 3  registraban su última actuación durante el segundo semestre 2021.</t>
  </si>
  <si>
    <t>La Oficina Jurídica en el memorando 20222100008393 del 1 de febrero de 2022, manifestó: “Durante el periodo objeto de verificación, es decir del 1 de julio a 31 de diciembre de 2021, la Entidad no tenía a cargo procesos arbitrales.”, información que coincide con lo registrado en el sistema eKOGUI.</t>
  </si>
  <si>
    <t xml:space="preserve">MARISOL OROZCO GIRALDO </t>
  </si>
  <si>
    <t>1. INGRESO Y RETIRO DE USUARIOS: De acuerdo con el reporte generado desde el sistema eKOGUI del usuario con rol “Jefe Financiero” y "Enlace de pagos" que se registraban como activos en el sistema a la fecha de la verificación (4 de febrero de 2022), no se encontraban vinculados a la Entidad desde el 31 de diciembre de 2020 y 5 de abril de 2021, respectivamente. Con relación a lo anterior, la administradora del sistema mediante correo electrónico del 4 de febrero de 2022 remitió la trazabilidad de correos electrónicos dirigidos al Secretario General donde solicita la designación de los roles de Jefe Financiero y Enlace de Pagos, en donde se indicó a través de correo electrónico del día 18 de agosto de 2021 que se designo nuevo Jefe Financiero y nuevo enlace de pagos, no obstante, estos no fueron ingresados al sistema,ni posteriormente retirados ya que se desvincularon de la Entidad el 24 de enero de 2022.
Se realizó la actualización del rol “Jefe de Control Interno” en el primer semestre de 2022, cuando se dio el cambio en octubre de 2021.
2.CAPACITACIÓN: . Teniendo en cuenta que los usuarios activos con rol “Jefe Financiero” y “Enlace de pagos”, no se encuentran vinculados en la Entidad, una vez se designe  el usuario de “Jefe de Financiero” y se actualice el rol “Jefe Financiero”, se deben capacitar como se requiere para el ejercicio de su gestión. 
En cuanto al usuario con rol “Jefe de Control Interno”, se participó en la capacitación virtual por parte de contratista de la Oficina de Control Interno convocada por la ANDJE.</t>
  </si>
  <si>
    <t>1. Activación e inactivación de usuarios: El Administrador del Sistema en la Entidad le corresponde realizar oportunamente las activaciones e inactivaciones de los usuarios según corresponda, de acuerdo con las novedades que presenten los usuarios en la Entidad, en ese sentido, se recomienda continuar con las gestiones necesarias ante la Secretaría General para que se designen los nuevos usuarios con rol “Jefe Financiero” y “Enlace de Pagos”, toda vez que los activos se encuentran desvinculados de la Entidad.
2. Capacitaciones usuarios: Programar asistencia a capacitaciones para los usuarios que se activen para el rol Jefe Financiero y Enlace de Pagos, con el fin de fortalecer las competencias y actualizarse en el funcionamiento de la versión 2.0 del sistema eKOGUI.
3. Procesos Judiciales activos: Se identificó diferencia en el total de procesos de acuerdo con lo reportado por la Oficina Jurídica y lo registrado en el sistema, por lo que se debe gestionar la revisión de la base de datos y de considerarse realizar su actualización y depuración, para los casos de los procesos repetidos en el sistema realizar los trámites ante la ANDJE para su eliminación y adelantar el registro de los procesos que no estaban en el sistema eKOGUI, de tal manera que se tenga claridad del total de los procesos activos en la Entidad. 
4. Actualización procesos judiciales: Teniendo en cuenta los procesos registrados en el sistema Ekogui que aparecen como activos con estado terminado, se recomienda validar la veracidad de los que se encuentren con ese estado de terminado registrado por otras entidades, con el fin de adelantar las acciones necesarias para depurar la realidad procesal de los terminados de la Entidad.
5. Calificación del riesgo: Debido a que se observó procesos judiciales que no tenían calificación del riesgo y que contaban con la contestación de la demanda, y que no se registró la provisión contable de dos procesos con valor diferente a cero, se recomienda a los usuarios con rol abogado adelantar las acciones dirigidas a dar cumplimiento con los lineamientos dados por la ANDJE.
6. Procesos prejudiciales activos: Los procesos prejudiciales activos que corresponden a vigencias anteriores a 2021, se recomienda adelantar acciones de depuración, y de las que requieran con el apoyo de la ANDJE. Lo anterior, en razón a que la ANDJE considera que los procesos prejudiciales permanezcan como activos en el sistema en un término de 6 meses como suficiente para la gestión y su culminación.
7. Procesos prejudiciales terminados: Teniendo en cuenta que se observaron procesos prejudiciales que tenían su última actuación antes del 30 de junio de 2021 y que se terminaron en el sistema durante el segundo semestre de 2021, se recomienda a los abogados encargados fortalecer el control de las actuaciones de los prejudiciales que se ingresan al sistema eKOGUI, y gestionar los casos hasta su culminación de forma paralela a las actuaciones.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</si>
</sst>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8"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
      <sz val="11"/>
      <color indexed="8"/>
      <name val="Calibri"/>
      <family val="2"/>
      <charset val="1"/>
    </font>
    <font>
      <sz val="11"/>
      <color rgb="FF000000"/>
      <name val="Calibri"/>
      <family val="2"/>
      <scheme val="minor"/>
    </font>
    <font>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15" fillId="0" borderId="0"/>
  </cellStyleXfs>
  <cellXfs count="127">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applyAlignment="1"/>
    <xf numFmtId="0" fontId="0" fillId="2" borderId="2" xfId="0" applyFill="1" applyBorder="1" applyAlignment="1"/>
    <xf numFmtId="0" fontId="0" fillId="2" borderId="3" xfId="0" applyFill="1" applyBorder="1" applyAlignment="1"/>
    <xf numFmtId="0" fontId="0" fillId="2" borderId="4" xfId="0" applyFill="1" applyBorder="1"/>
    <xf numFmtId="0" fontId="0" fillId="2" borderId="0"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10" xfId="0" applyFont="1" applyFill="1" applyBorder="1" applyAlignment="1">
      <alignment horizontal="center"/>
    </xf>
    <xf numFmtId="0" fontId="2" fillId="3" borderId="9" xfId="0" applyFont="1" applyFill="1" applyBorder="1" applyAlignment="1">
      <alignment horizontal="center"/>
    </xf>
    <xf numFmtId="0" fontId="2" fillId="3" borderId="9" xfId="0" applyFont="1" applyFill="1" applyBorder="1"/>
    <xf numFmtId="0" fontId="2" fillId="3" borderId="11" xfId="0" applyFont="1" applyFill="1" applyBorder="1" applyAlignment="1">
      <alignment horizontal="center"/>
    </xf>
    <xf numFmtId="0" fontId="7" fillId="2" borderId="0" xfId="0" applyFont="1" applyFill="1" applyBorder="1" applyAlignment="1"/>
    <xf numFmtId="0" fontId="0" fillId="2" borderId="0" xfId="0" applyFill="1" applyBorder="1" applyAlignment="1"/>
    <xf numFmtId="0" fontId="5" fillId="3" borderId="0" xfId="0" applyFont="1" applyFill="1"/>
    <xf numFmtId="0" fontId="0" fillId="2" borderId="1" xfId="0" applyFill="1" applyBorder="1"/>
    <xf numFmtId="0" fontId="0" fillId="2" borderId="2" xfId="0" applyFill="1" applyBorder="1"/>
    <xf numFmtId="0" fontId="0" fillId="2" borderId="3" xfId="0" applyFill="1" applyBorder="1"/>
    <xf numFmtId="0" fontId="0" fillId="2" borderId="0" xfId="0" applyFill="1" applyBorder="1" applyAlignment="1">
      <alignment vertical="center" wrapText="1"/>
    </xf>
    <xf numFmtId="0" fontId="0" fillId="2" borderId="5" xfId="0" applyFill="1" applyBorder="1" applyAlignment="1">
      <alignment vertical="center" wrapText="1"/>
    </xf>
    <xf numFmtId="0" fontId="9" fillId="2" borderId="0" xfId="0" applyFont="1" applyFill="1" applyBorder="1" applyAlignment="1">
      <alignment vertical="center"/>
    </xf>
    <xf numFmtId="0" fontId="9" fillId="2" borderId="0" xfId="0" applyFont="1" applyFill="1" applyBorder="1" applyAlignment="1"/>
    <xf numFmtId="0" fontId="0" fillId="2" borderId="9" xfId="0" applyFill="1" applyBorder="1" applyAlignment="1">
      <alignment vertical="center" wrapText="1"/>
    </xf>
    <xf numFmtId="0" fontId="2" fillId="3" borderId="19"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Border="1" applyAlignment="1">
      <alignment horizontal="center"/>
    </xf>
    <xf numFmtId="0" fontId="5" fillId="2" borderId="0" xfId="0" applyFont="1" applyFill="1"/>
    <xf numFmtId="0" fontId="0" fillId="0" borderId="9" xfId="0" applyBorder="1"/>
    <xf numFmtId="0" fontId="3" fillId="0" borderId="0" xfId="0" applyFont="1"/>
    <xf numFmtId="0" fontId="0" fillId="0" borderId="0" xfId="0" applyBorder="1" applyAlignment="1"/>
    <xf numFmtId="0" fontId="6" fillId="0" borderId="0" xfId="0" applyFont="1" applyBorder="1" applyAlignment="1"/>
    <xf numFmtId="0" fontId="6" fillId="0" borderId="5" xfId="0" applyFont="1" applyBorder="1" applyAlignment="1"/>
    <xf numFmtId="14" fontId="0" fillId="2" borderId="0" xfId="0" applyNumberFormat="1" applyFill="1"/>
    <xf numFmtId="0" fontId="0" fillId="0" borderId="9" xfId="0" applyFill="1" applyBorder="1"/>
    <xf numFmtId="0" fontId="2" fillId="3" borderId="9" xfId="0" applyFont="1" applyFill="1" applyBorder="1" applyAlignment="1">
      <alignment horizontal="center" vertical="center"/>
    </xf>
    <xf numFmtId="0" fontId="0" fillId="0" borderId="16" xfId="0" applyBorder="1"/>
    <xf numFmtId="0" fontId="10" fillId="0" borderId="15" xfId="0" applyFont="1" applyBorder="1"/>
    <xf numFmtId="0" fontId="10" fillId="2" borderId="17" xfId="0" applyFont="1" applyFill="1" applyBorder="1"/>
    <xf numFmtId="0" fontId="0" fillId="2" borderId="18" xfId="0" applyFill="1" applyBorder="1"/>
    <xf numFmtId="0" fontId="0" fillId="2" borderId="0" xfId="0" applyFill="1" applyBorder="1" applyProtection="1">
      <protection locked="0"/>
    </xf>
    <xf numFmtId="0" fontId="0" fillId="0" borderId="0" xfId="0" applyBorder="1" applyProtection="1">
      <protection locked="0"/>
    </xf>
    <xf numFmtId="0" fontId="4" fillId="2" borderId="0" xfId="0" applyFont="1" applyFill="1" applyBorder="1"/>
    <xf numFmtId="0" fontId="4" fillId="0" borderId="0" xfId="0" applyFont="1"/>
    <xf numFmtId="0" fontId="4" fillId="2" borderId="0" xfId="0" applyFont="1" applyFill="1"/>
    <xf numFmtId="0" fontId="0" fillId="2" borderId="9" xfId="0" applyFill="1" applyBorder="1" applyAlignment="1">
      <alignment vertical="center"/>
    </xf>
    <xf numFmtId="0" fontId="0" fillId="2" borderId="0" xfId="0" applyFill="1" applyBorder="1" applyAlignment="1">
      <alignment wrapText="1"/>
    </xf>
    <xf numFmtId="0" fontId="0" fillId="2" borderId="22" xfId="0" applyFill="1" applyBorder="1" applyAlignment="1">
      <alignment horizontal="center" vertical="center"/>
    </xf>
    <xf numFmtId="0" fontId="0" fillId="2" borderId="14" xfId="0" applyFill="1" applyBorder="1" applyAlignment="1">
      <alignment wrapText="1"/>
    </xf>
    <xf numFmtId="0" fontId="0" fillId="2" borderId="17" xfId="0" applyFill="1" applyBorder="1" applyAlignment="1">
      <alignment wrapText="1"/>
    </xf>
    <xf numFmtId="0" fontId="0" fillId="2" borderId="18" xfId="0" applyFill="1" applyBorder="1" applyAlignment="1">
      <alignment wrapText="1"/>
    </xf>
    <xf numFmtId="0" fontId="10" fillId="2" borderId="21" xfId="0" applyFont="1" applyFill="1" applyBorder="1" applyAlignment="1">
      <alignment wrapText="1"/>
    </xf>
    <xf numFmtId="14" fontId="5" fillId="2" borderId="5" xfId="0" applyNumberFormat="1" applyFont="1" applyFill="1" applyBorder="1"/>
    <xf numFmtId="0" fontId="0" fillId="2" borderId="13" xfId="0" applyFill="1" applyBorder="1" applyAlignment="1" applyProtection="1">
      <alignment wrapText="1"/>
      <protection hidden="1"/>
    </xf>
    <xf numFmtId="0" fontId="15" fillId="0" borderId="0" xfId="2"/>
    <xf numFmtId="14" fontId="15" fillId="0" borderId="0" xfId="2" applyNumberFormat="1" applyFont="1"/>
    <xf numFmtId="164" fontId="15" fillId="0" borderId="0" xfId="2" applyNumberFormat="1"/>
    <xf numFmtId="0" fontId="15" fillId="4" borderId="0" xfId="2" applyFont="1" applyFill="1"/>
    <xf numFmtId="0" fontId="15" fillId="4" borderId="0" xfId="2" applyFont="1" applyFill="1" applyBorder="1"/>
    <xf numFmtId="0" fontId="15" fillId="4" borderId="0" xfId="2" applyFont="1" applyFill="1" applyAlignment="1">
      <alignment vertical="center"/>
    </xf>
    <xf numFmtId="0" fontId="15" fillId="5" borderId="0" xfId="2" applyFill="1"/>
    <xf numFmtId="0" fontId="0" fillId="5" borderId="0" xfId="0" applyFill="1"/>
    <xf numFmtId="0" fontId="16"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Fill="1" applyBorder="1" applyProtection="1">
      <protection hidden="1"/>
    </xf>
    <xf numFmtId="0" fontId="0" fillId="2" borderId="0" xfId="0" applyFill="1" applyBorder="1" applyAlignment="1">
      <alignment horizontal="center"/>
    </xf>
    <xf numFmtId="0" fontId="4" fillId="2" borderId="0" xfId="0" applyFont="1" applyFill="1" applyProtection="1"/>
    <xf numFmtId="0" fontId="0" fillId="2" borderId="0" xfId="0" applyFill="1" applyBorder="1" applyAlignment="1" applyProtection="1"/>
    <xf numFmtId="0" fontId="0" fillId="0" borderId="0" xfId="0" applyBorder="1" applyProtection="1"/>
    <xf numFmtId="0" fontId="0" fillId="2" borderId="5" xfId="0" applyFill="1" applyBorder="1" applyProtection="1"/>
    <xf numFmtId="0" fontId="0" fillId="0" borderId="0" xfId="0" applyFill="1" applyProtection="1"/>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Border="1" applyAlignment="1">
      <alignment horizontal="center" vertical="center"/>
    </xf>
    <xf numFmtId="0" fontId="17" fillId="0" borderId="0" xfId="0" applyFont="1" applyBorder="1" applyAlignment="1">
      <alignment horizontal="center"/>
    </xf>
    <xf numFmtId="0" fontId="12" fillId="0" borderId="4" xfId="0" applyFont="1" applyBorder="1" applyAlignment="1">
      <alignment horizontal="center"/>
    </xf>
    <xf numFmtId="0" fontId="12" fillId="0" borderId="0" xfId="0" applyFont="1" applyBorder="1" applyAlignment="1">
      <alignment horizontal="center"/>
    </xf>
    <xf numFmtId="0" fontId="12" fillId="0" borderId="5" xfId="0" applyFont="1" applyBorder="1" applyAlignment="1">
      <alignment horizontal="center"/>
    </xf>
    <xf numFmtId="0" fontId="0" fillId="0" borderId="0" xfId="0" applyBorder="1" applyAlignment="1">
      <alignment horizontal="left" wrapText="1"/>
    </xf>
    <xf numFmtId="0" fontId="7" fillId="2" borderId="4" xfId="0" applyFont="1" applyFill="1" applyBorder="1" applyAlignment="1">
      <alignment horizontal="center"/>
    </xf>
    <xf numFmtId="0" fontId="7" fillId="2" borderId="0" xfId="0" applyFont="1" applyFill="1" applyBorder="1" applyAlignment="1">
      <alignment horizontal="center"/>
    </xf>
    <xf numFmtId="0" fontId="7" fillId="2" borderId="5" xfId="0" applyFont="1" applyFill="1" applyBorder="1" applyAlignment="1">
      <alignment horizontal="center"/>
    </xf>
    <xf numFmtId="0" fontId="0" fillId="6" borderId="12" xfId="0" applyFill="1" applyBorder="1" applyAlignment="1" applyProtection="1">
      <alignment horizontal="left" vertical="top" wrapText="1"/>
      <protection locked="0"/>
    </xf>
    <xf numFmtId="0" fontId="0" fillId="6" borderId="25"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2" borderId="23" xfId="0" applyFill="1" applyBorder="1" applyAlignment="1">
      <alignment horizontal="center"/>
    </xf>
    <xf numFmtId="0" fontId="0" fillId="2" borderId="24" xfId="0" applyFill="1" applyBorder="1" applyAlignment="1">
      <alignment horizontal="center"/>
    </xf>
    <xf numFmtId="0" fontId="0" fillId="2" borderId="0" xfId="0" applyFill="1" applyBorder="1" applyAlignment="1">
      <alignment horizontal="center"/>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0" fillId="6" borderId="13" xfId="0" applyFill="1" applyBorder="1" applyAlignment="1" applyProtection="1">
      <alignment horizontal="left" vertical="top" wrapText="1"/>
      <protection locked="0"/>
    </xf>
    <xf numFmtId="0" fontId="0" fillId="6" borderId="21"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0" xfId="0" applyFill="1" applyBorder="1" applyAlignment="1" applyProtection="1">
      <alignment horizontal="left" vertical="top"/>
      <protection locked="0"/>
    </xf>
    <xf numFmtId="0" fontId="0" fillId="6" borderId="16"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20" xfId="0" applyFill="1" applyBorder="1" applyAlignment="1" applyProtection="1">
      <alignment horizontal="left" vertical="top"/>
      <protection locked="0"/>
    </xf>
    <xf numFmtId="0" fontId="0" fillId="6" borderId="18"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9" xfId="0" applyFill="1" applyBorder="1" applyAlignment="1" applyProtection="1">
      <alignment horizontal="left" vertical="top" wrapText="1"/>
      <protection locked="0"/>
    </xf>
    <xf numFmtId="0" fontId="0" fillId="6" borderId="9" xfId="0" applyFill="1" applyBorder="1" applyAlignment="1" applyProtection="1">
      <alignment horizontal="left" vertical="top"/>
      <protection locked="0"/>
    </xf>
    <xf numFmtId="0" fontId="9" fillId="2" borderId="0" xfId="0" applyFont="1" applyFill="1" applyBorder="1" applyAlignment="1">
      <alignment horizontal="center" vertical="center"/>
    </xf>
    <xf numFmtId="0" fontId="0" fillId="2" borderId="21" xfId="0" applyFill="1" applyBorder="1" applyAlignment="1">
      <alignment horizontal="left" wrapText="1"/>
    </xf>
    <xf numFmtId="0" fontId="0" fillId="0" borderId="0" xfId="0" applyBorder="1" applyAlignment="1">
      <alignment horizontal="center"/>
    </xf>
    <xf numFmtId="0" fontId="0" fillId="6" borderId="7" xfId="0" applyFill="1" applyBorder="1" applyAlignment="1" applyProtection="1">
      <alignment horizontal="center" vertical="top"/>
      <protection locked="0"/>
    </xf>
    <xf numFmtId="0" fontId="6" fillId="0" borderId="0" xfId="0" applyFont="1" applyBorder="1" applyAlignment="1">
      <alignment horizontal="center"/>
    </xf>
  </cellXfs>
  <cellStyles count="3">
    <cellStyle name="Excel Built-in Normal" xfId="2" xr:uid="{00000000-0005-0000-0000-000000000000}"/>
    <cellStyle name="Normal" xfId="0" builtinId="0"/>
    <cellStyle name="Porcentaje" xfId="1" builtinId="5"/>
  </cellStyles>
  <dxfs count="4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Resumen General y Validaci&#243;n'!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Principal!A1"/></Relationships>
</file>

<file path=xl/drawings/_rels/drawing3.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5.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ABOGADO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6.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BOGAD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7</xdr:col>
      <xdr:colOff>57149</xdr:colOff>
      <xdr:row>11</xdr:row>
      <xdr:rowOff>152399</xdr:rowOff>
    </xdr:from>
    <xdr:to>
      <xdr:col>9</xdr:col>
      <xdr:colOff>333149</xdr:colOff>
      <xdr:row>14</xdr:row>
      <xdr:rowOff>12899</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16372F7-FB45-41D9-9DAD-AD321D2DD2BC}"/>
            </a:ext>
          </a:extLst>
        </xdr:cNvPr>
        <xdr:cNvSpPr/>
      </xdr:nvSpPr>
      <xdr:spPr>
        <a:xfrm>
          <a:off x="5391149" y="235267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609599</xdr:colOff>
      <xdr:row>12</xdr:row>
      <xdr:rowOff>9524</xdr:rowOff>
    </xdr:from>
    <xdr:to>
      <xdr:col>4</xdr:col>
      <xdr:colOff>123599</xdr:colOff>
      <xdr:row>14</xdr:row>
      <xdr:rowOff>60524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94357569-C71E-4747-A766-4B3852BF2112}"/>
            </a:ext>
          </a:extLst>
        </xdr:cNvPr>
        <xdr:cNvSpPr/>
      </xdr:nvSpPr>
      <xdr:spPr>
        <a:xfrm>
          <a:off x="1371599" y="24002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C7F8B5F-B37F-4E2E-AED1-07C4D620A95B}"/>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3EB68510-7856-4F2D-832E-509E3EDFB416}"/>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6A87C818-C2AA-497F-8873-0E388CF3AE51}"/>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333374</xdr:colOff>
      <xdr:row>11</xdr:row>
      <xdr:rowOff>171449</xdr:rowOff>
    </xdr:from>
    <xdr:to>
      <xdr:col>6</xdr:col>
      <xdr:colOff>609374</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D4429412-385D-49D3-84EB-BC4DF5A45465}"/>
            </a:ext>
          </a:extLst>
        </xdr:cNvPr>
        <xdr:cNvSpPr/>
      </xdr:nvSpPr>
      <xdr:spPr>
        <a:xfrm>
          <a:off x="3381374" y="23717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11</xdr:col>
      <xdr:colOff>19049</xdr:colOff>
      <xdr:row>10</xdr:row>
      <xdr:rowOff>9524</xdr:rowOff>
    </xdr:from>
    <xdr:to>
      <xdr:col>13</xdr:col>
      <xdr:colOff>295049</xdr:colOff>
      <xdr:row>12</xdr:row>
      <xdr:rowOff>60524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E8819747-9B47-4905-B7B6-1CC75364363A}"/>
            </a:ext>
          </a:extLst>
        </xdr:cNvPr>
        <xdr:cNvSpPr/>
      </xdr:nvSpPr>
      <xdr:spPr>
        <a:xfrm>
          <a:off x="8401049" y="201929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1</xdr:row>
      <xdr:rowOff>85725</xdr:rowOff>
    </xdr:from>
    <xdr:to>
      <xdr:col>4</xdr:col>
      <xdr:colOff>1535250</xdr:colOff>
      <xdr:row>3</xdr:row>
      <xdr:rowOff>50325</xdr:rowOff>
    </xdr:to>
    <xdr:sp macro="" textlink="">
      <xdr:nvSpPr>
        <xdr:cNvPr id="8" name="Rectángulo: esquinas redondeadas 7">
          <a:hlinkClick xmlns:r="http://schemas.openxmlformats.org/officeDocument/2006/relationships" r:id="rId1"/>
          <a:extLst>
            <a:ext uri="{FF2B5EF4-FFF2-40B4-BE49-F238E27FC236}">
              <a16:creationId xmlns:a16="http://schemas.microsoft.com/office/drawing/2014/main" id="{C34AF220-CE73-4F1F-AAAF-03B93BBF3C8A}"/>
            </a:ext>
          </a:extLst>
        </xdr:cNvPr>
        <xdr:cNvSpPr/>
      </xdr:nvSpPr>
      <xdr:spPr>
        <a:xfrm>
          <a:off x="55816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1695450</xdr:colOff>
      <xdr:row>1</xdr:row>
      <xdr:rowOff>85725</xdr:rowOff>
    </xdr:from>
    <xdr:to>
      <xdr:col>4</xdr:col>
      <xdr:colOff>3135450</xdr:colOff>
      <xdr:row>3</xdr:row>
      <xdr:rowOff>50325</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9B57F36E-CDBC-4D62-9F51-AE2ADA5D60BC}"/>
            </a:ext>
          </a:extLst>
        </xdr:cNvPr>
        <xdr:cNvSpPr/>
      </xdr:nvSpPr>
      <xdr:spPr>
        <a:xfrm>
          <a:off x="71818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1</xdr:col>
      <xdr:colOff>1609725</xdr:colOff>
      <xdr:row>1</xdr:row>
      <xdr:rowOff>85725</xdr:rowOff>
    </xdr:from>
    <xdr:to>
      <xdr:col>3</xdr:col>
      <xdr:colOff>154125</xdr:colOff>
      <xdr:row>3</xdr:row>
      <xdr:rowOff>50325</xdr:rowOff>
    </xdr:to>
    <xdr:sp macro="" textlink="">
      <xdr:nvSpPr>
        <xdr:cNvPr id="10" name="Rectángulo: esquinas redondeadas 9">
          <a:hlinkClick xmlns:r="http://schemas.openxmlformats.org/officeDocument/2006/relationships" r:id="rId3"/>
          <a:extLst>
            <a:ext uri="{FF2B5EF4-FFF2-40B4-BE49-F238E27FC236}">
              <a16:creationId xmlns:a16="http://schemas.microsoft.com/office/drawing/2014/main" id="{266637D4-7F2F-4052-9527-4AC105CEF1EE}"/>
            </a:ext>
          </a:extLst>
        </xdr:cNvPr>
        <xdr:cNvSpPr/>
      </xdr:nvSpPr>
      <xdr:spPr>
        <a:xfrm>
          <a:off x="237172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5</xdr:col>
      <xdr:colOff>257175</xdr:colOff>
      <xdr:row>1</xdr:row>
      <xdr:rowOff>123825</xdr:rowOff>
    </xdr:from>
    <xdr:to>
      <xdr:col>5</xdr:col>
      <xdr:colOff>1697175</xdr:colOff>
      <xdr:row>3</xdr:row>
      <xdr:rowOff>88425</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id="{5B936FB9-EEA3-4AF2-9F42-D0847D220075}"/>
            </a:ext>
          </a:extLst>
        </xdr:cNvPr>
        <xdr:cNvSpPr/>
      </xdr:nvSpPr>
      <xdr:spPr>
        <a:xfrm>
          <a:off x="9972675" y="314325"/>
          <a:ext cx="1440000" cy="3456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28575</xdr:colOff>
      <xdr:row>1</xdr:row>
      <xdr:rowOff>85725</xdr:rowOff>
    </xdr:from>
    <xdr:to>
      <xdr:col>1</xdr:col>
      <xdr:colOff>1468575</xdr:colOff>
      <xdr:row>3</xdr:row>
      <xdr:rowOff>50325</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7A028041-1A1C-44D0-B77D-E925300D0E5C}"/>
            </a:ext>
          </a:extLst>
        </xdr:cNvPr>
        <xdr:cNvSpPr/>
      </xdr:nvSpPr>
      <xdr:spPr>
        <a:xfrm>
          <a:off x="79057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3</xdr:col>
      <xdr:colOff>323850</xdr:colOff>
      <xdr:row>1</xdr:row>
      <xdr:rowOff>85725</xdr:rowOff>
    </xdr:from>
    <xdr:to>
      <xdr:col>3</xdr:col>
      <xdr:colOff>1763850</xdr:colOff>
      <xdr:row>3</xdr:row>
      <xdr:rowOff>50325</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720246E6-5665-4CDC-AD25-2EA51D7E6820}"/>
            </a:ext>
          </a:extLst>
        </xdr:cNvPr>
        <xdr:cNvSpPr/>
      </xdr:nvSpPr>
      <xdr:spPr>
        <a:xfrm>
          <a:off x="39814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B929932-1354-4CF5-BB7B-7FEA1B957825}"/>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792F481F-D124-448F-A9B5-427F21201D9D}"/>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A48CE2A6-65F2-4F8D-9FDB-13DC5AAEF1B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DC7631A3-BA7F-49C3-90DF-3541CFE9AB00}"/>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74972ECD-BC1B-45B6-8D73-0373FCB4D4BD}"/>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4E6AEA95-5FFC-485A-BA6F-07EEF53758BB}"/>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1924049</xdr:colOff>
      <xdr:row>2</xdr:row>
      <xdr:rowOff>28575</xdr:rowOff>
    </xdr:from>
    <xdr:to>
      <xdr:col>5</xdr:col>
      <xdr:colOff>3364049</xdr:colOff>
      <xdr:row>3</xdr:row>
      <xdr:rowOff>162075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E7BD768-FD4D-4421-9177-DBDC698FCAAC}"/>
            </a:ext>
          </a:extLst>
        </xdr:cNvPr>
        <xdr:cNvSpPr/>
      </xdr:nvSpPr>
      <xdr:spPr>
        <a:xfrm>
          <a:off x="7172324"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5</xdr:col>
      <xdr:colOff>314325</xdr:colOff>
      <xdr:row>2</xdr:row>
      <xdr:rowOff>38100</xdr:rowOff>
    </xdr:from>
    <xdr:to>
      <xdr:col>5</xdr:col>
      <xdr:colOff>1754325</xdr:colOff>
      <xdr:row>3</xdr:row>
      <xdr:rowOff>171600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6DAEE14-B062-4020-A2A8-D70F565098FF}"/>
            </a:ext>
          </a:extLst>
        </xdr:cNvPr>
        <xdr:cNvSpPr/>
      </xdr:nvSpPr>
      <xdr:spPr>
        <a:xfrm>
          <a:off x="5562600"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1266824</xdr:colOff>
      <xdr:row>2</xdr:row>
      <xdr:rowOff>57150</xdr:rowOff>
    </xdr:from>
    <xdr:to>
      <xdr:col>2</xdr:col>
      <xdr:colOff>2706824</xdr:colOff>
      <xdr:row>4</xdr:row>
      <xdr:rowOff>150</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3A695291-5DD1-4FFB-BA8D-8EFD959FD777}"/>
            </a:ext>
          </a:extLst>
        </xdr:cNvPr>
        <xdr:cNvSpPr/>
      </xdr:nvSpPr>
      <xdr:spPr>
        <a:xfrm>
          <a:off x="2285999" y="4476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Abogados</a:t>
          </a:r>
          <a:endParaRPr lang="es-CO" sz="1400">
            <a:solidFill>
              <a:schemeClr val="tx1"/>
            </a:solidFill>
          </a:endParaRPr>
        </a:p>
      </xdr:txBody>
    </xdr:sp>
    <xdr:clientData/>
  </xdr:twoCellAnchor>
  <xdr:twoCellAnchor>
    <xdr:from>
      <xdr:col>6</xdr:col>
      <xdr:colOff>123824</xdr:colOff>
      <xdr:row>2</xdr:row>
      <xdr:rowOff>19050</xdr:rowOff>
    </xdr:from>
    <xdr:to>
      <xdr:col>7</xdr:col>
      <xdr:colOff>811349</xdr:colOff>
      <xdr:row>3</xdr:row>
      <xdr:rowOff>152550</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A38DC371-40C2-4A29-9CEB-A9FC8940FDAB}"/>
            </a:ext>
          </a:extLst>
        </xdr:cNvPr>
        <xdr:cNvSpPr/>
      </xdr:nvSpPr>
      <xdr:spPr>
        <a:xfrm>
          <a:off x="8848724" y="40957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381000</xdr:colOff>
      <xdr:row>2</xdr:row>
      <xdr:rowOff>66675</xdr:rowOff>
    </xdr:from>
    <xdr:to>
      <xdr:col>2</xdr:col>
      <xdr:colOff>1059000</xdr:colOff>
      <xdr:row>4</xdr:row>
      <xdr:rowOff>9675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D19A0C14-F8BF-429B-ADCB-F41AA45C264F}"/>
            </a:ext>
          </a:extLst>
        </xdr:cNvPr>
        <xdr:cNvSpPr/>
      </xdr:nvSpPr>
      <xdr:spPr>
        <a:xfrm>
          <a:off x="638175" y="4572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2924174</xdr:colOff>
      <xdr:row>2</xdr:row>
      <xdr:rowOff>47625</xdr:rowOff>
    </xdr:from>
    <xdr:to>
      <xdr:col>5</xdr:col>
      <xdr:colOff>135074</xdr:colOff>
      <xdr:row>3</xdr:row>
      <xdr:rowOff>181125</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FE5D590D-DCCB-4A8F-9D8E-336034E5C955}"/>
            </a:ext>
          </a:extLst>
        </xdr:cNvPr>
        <xdr:cNvSpPr/>
      </xdr:nvSpPr>
      <xdr:spPr>
        <a:xfrm>
          <a:off x="3943349"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4D0F5EF7-9EA2-4A8B-873E-9C515AEF074D}"/>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20E335E-33A3-4D14-B759-A3B393177C26}"/>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DCF7BA50-BD9F-4DC4-92A1-0BE7BF1C0D4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EC22933C-CE88-4CD8-9948-7B7780A54BD9}"/>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E76E0530-9FB4-4403-8D94-7CEA62A41E68}"/>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56595194-6A0B-44E9-95A0-1D6271C247BF}"/>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92B04ECD-0CEC-42E3-B145-59EB780B3CF1}"/>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B1F59FC8-0C0C-4332-860F-D6B518441040}"/>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E33B6DE-FFBF-4E4D-B96B-31CAFFC248D6}"/>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203A722-9893-4800-A0CD-685870A05466}"/>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9F53C0C0-05B7-44B4-A45D-7565FDE16B50}"/>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59DC2B8-8EBA-45CA-B392-44937B6A08D0}"/>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2CC77A45-427A-4F8A-8A3C-4175418635FE}"/>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8BD018B-7F83-4DAE-82D5-DC61A901F0F3}"/>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C7B81333-7708-4DE4-8EBC-772D62DB6770}"/>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1E68CAEE-D6EC-476E-9C8F-9D3DD7AF1133}"/>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1D5D93B2-79DF-4FE8-89AE-83131236828C}"/>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F04F382-3C27-4803-9420-0DA7D2AC7F05}"/>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95400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BEC85F08-173E-4713-B5A6-72F06DDCAF2D}"/>
            </a:ext>
          </a:extLst>
        </xdr:cNvPr>
        <xdr:cNvSpPr/>
      </xdr:nvSpPr>
      <xdr:spPr>
        <a:xfrm>
          <a:off x="7153275" y="20002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O18"/>
  <sheetViews>
    <sheetView showGridLines="0" workbookViewId="0"/>
  </sheetViews>
  <sheetFormatPr baseColWidth="10" defaultRowHeight="15" x14ac:dyDescent="0.25"/>
  <sheetData>
    <row r="1" spans="2:15" ht="15.75" thickBot="1" x14ac:dyDescent="0.3"/>
    <row r="2" spans="2:15" x14ac:dyDescent="0.25">
      <c r="B2" s="2"/>
      <c r="C2" s="3"/>
      <c r="D2" s="3"/>
      <c r="E2" s="3"/>
      <c r="F2" s="3"/>
      <c r="G2" s="3"/>
      <c r="H2" s="3"/>
      <c r="I2" s="3"/>
      <c r="J2" s="3"/>
      <c r="K2" s="3"/>
      <c r="L2" s="3"/>
      <c r="M2" s="3"/>
      <c r="N2" s="3"/>
      <c r="O2" s="4"/>
    </row>
    <row r="3" spans="2:15" ht="23.25" x14ac:dyDescent="0.35">
      <c r="B3" s="91" t="s">
        <v>78</v>
      </c>
      <c r="C3" s="92"/>
      <c r="D3" s="92"/>
      <c r="E3" s="92"/>
      <c r="F3" s="92"/>
      <c r="G3" s="92"/>
      <c r="H3" s="92"/>
      <c r="I3" s="92"/>
      <c r="J3" s="92"/>
      <c r="K3" s="92"/>
      <c r="L3" s="92"/>
      <c r="M3" s="92"/>
      <c r="N3" s="92"/>
      <c r="O3" s="93"/>
    </row>
    <row r="4" spans="2:15" ht="23.25" x14ac:dyDescent="0.35">
      <c r="B4" s="91" t="s">
        <v>11</v>
      </c>
      <c r="C4" s="92"/>
      <c r="D4" s="92"/>
      <c r="E4" s="92"/>
      <c r="F4" s="92"/>
      <c r="G4" s="92"/>
      <c r="H4" s="92"/>
      <c r="I4" s="92"/>
      <c r="J4" s="92"/>
      <c r="K4" s="92"/>
      <c r="L4" s="92"/>
      <c r="M4" s="92"/>
      <c r="N4" s="92"/>
      <c r="O4" s="93"/>
    </row>
    <row r="5" spans="2:15" x14ac:dyDescent="0.25">
      <c r="B5" s="5"/>
      <c r="C5" s="6"/>
      <c r="D5" s="6"/>
      <c r="E5" s="6"/>
      <c r="F5" s="6"/>
      <c r="G5" s="6"/>
      <c r="H5" s="6"/>
      <c r="I5" s="6"/>
      <c r="J5" s="6"/>
      <c r="K5" s="6"/>
      <c r="L5" s="6"/>
      <c r="M5" s="6"/>
      <c r="N5" s="6"/>
      <c r="O5" s="7"/>
    </row>
    <row r="6" spans="2:15" x14ac:dyDescent="0.25">
      <c r="B6" s="5"/>
      <c r="C6" s="94" t="s">
        <v>91</v>
      </c>
      <c r="D6" s="94"/>
      <c r="E6" s="94"/>
      <c r="F6" s="94"/>
      <c r="G6" s="94"/>
      <c r="H6" s="94"/>
      <c r="I6" s="94"/>
      <c r="J6" s="94"/>
      <c r="K6" s="94"/>
      <c r="L6" s="94"/>
      <c r="M6" s="94"/>
      <c r="N6" s="94"/>
      <c r="O6" s="7"/>
    </row>
    <row r="7" spans="2:15" x14ac:dyDescent="0.25">
      <c r="B7" s="5"/>
      <c r="C7" s="94"/>
      <c r="D7" s="94"/>
      <c r="E7" s="94"/>
      <c r="F7" s="94"/>
      <c r="G7" s="94"/>
      <c r="H7" s="94"/>
      <c r="I7" s="94"/>
      <c r="J7" s="94"/>
      <c r="K7" s="94"/>
      <c r="L7" s="94"/>
      <c r="M7" s="94"/>
      <c r="N7" s="94"/>
      <c r="O7" s="7"/>
    </row>
    <row r="8" spans="2:15" x14ac:dyDescent="0.25">
      <c r="B8" s="5"/>
      <c r="C8" s="6"/>
      <c r="D8" s="6"/>
      <c r="E8" s="6"/>
      <c r="F8" s="6"/>
      <c r="G8" s="6"/>
      <c r="H8" s="6"/>
      <c r="I8" s="6"/>
      <c r="J8" s="6"/>
      <c r="K8" s="6"/>
      <c r="L8" s="6"/>
      <c r="M8" s="6"/>
      <c r="N8" s="6"/>
      <c r="O8" s="7"/>
    </row>
    <row r="9" spans="2:15" x14ac:dyDescent="0.25">
      <c r="B9" s="5"/>
      <c r="C9" s="6"/>
      <c r="D9" s="6"/>
      <c r="E9" s="6"/>
      <c r="F9" s="6"/>
      <c r="G9" s="6"/>
      <c r="H9" s="6"/>
      <c r="I9" s="6"/>
      <c r="J9" s="6"/>
      <c r="K9" s="6"/>
      <c r="L9" s="6"/>
      <c r="M9" s="6"/>
      <c r="N9" s="6"/>
      <c r="O9" s="7"/>
    </row>
    <row r="10" spans="2:15" x14ac:dyDescent="0.25">
      <c r="B10" s="5"/>
      <c r="C10" s="6"/>
      <c r="D10" s="6"/>
      <c r="E10" s="6"/>
      <c r="F10" s="6"/>
      <c r="G10" s="6"/>
      <c r="H10" s="6"/>
      <c r="I10" s="6"/>
      <c r="J10" s="6"/>
      <c r="K10" s="6"/>
      <c r="L10" s="6"/>
      <c r="M10" s="6"/>
      <c r="N10" s="6"/>
      <c r="O10" s="7"/>
    </row>
    <row r="11" spans="2:15" x14ac:dyDescent="0.25">
      <c r="B11" s="5"/>
      <c r="C11" s="6"/>
      <c r="D11" s="6"/>
      <c r="E11" s="6"/>
      <c r="F11" s="6"/>
      <c r="G11" s="6"/>
      <c r="H11" s="6"/>
      <c r="I11" s="6"/>
      <c r="J11" s="6"/>
      <c r="K11" s="6"/>
      <c r="L11" s="6"/>
      <c r="M11" s="6"/>
      <c r="N11" s="6"/>
      <c r="O11" s="7"/>
    </row>
    <row r="12" spans="2:15" x14ac:dyDescent="0.25">
      <c r="B12" s="5"/>
      <c r="C12" s="6"/>
      <c r="D12" s="6"/>
      <c r="E12" s="6"/>
      <c r="F12" s="6"/>
      <c r="G12" s="6"/>
      <c r="H12" s="6"/>
      <c r="I12" s="6"/>
      <c r="J12" s="6"/>
      <c r="K12" s="6"/>
      <c r="L12" s="6"/>
      <c r="M12" s="6"/>
      <c r="N12" s="6"/>
      <c r="O12" s="7"/>
    </row>
    <row r="13" spans="2:15" x14ac:dyDescent="0.25">
      <c r="B13" s="5"/>
      <c r="C13" s="6"/>
      <c r="D13" s="6"/>
      <c r="E13" s="6"/>
      <c r="F13" s="6"/>
      <c r="G13" s="6"/>
      <c r="H13" s="6"/>
      <c r="I13" s="6"/>
      <c r="J13" s="6"/>
      <c r="K13" s="6"/>
      <c r="L13" s="6"/>
      <c r="M13" s="6"/>
      <c r="N13" s="6"/>
      <c r="O13" s="7"/>
    </row>
    <row r="14" spans="2:15" x14ac:dyDescent="0.25">
      <c r="B14" s="5"/>
      <c r="C14" s="6"/>
      <c r="D14" s="6"/>
      <c r="E14" s="6"/>
      <c r="F14" s="6"/>
      <c r="G14" s="6"/>
      <c r="H14" s="6"/>
      <c r="I14" s="6"/>
      <c r="J14" s="6"/>
      <c r="K14" s="6"/>
      <c r="L14" s="6"/>
      <c r="M14" s="6"/>
      <c r="N14" s="6"/>
      <c r="O14" s="7"/>
    </row>
    <row r="15" spans="2:15" x14ac:dyDescent="0.25">
      <c r="B15" s="5"/>
      <c r="C15" s="6"/>
      <c r="D15" s="6"/>
      <c r="E15" s="6"/>
      <c r="F15" s="6"/>
      <c r="G15" s="6"/>
      <c r="H15" s="6"/>
      <c r="I15" s="6"/>
      <c r="J15" s="6"/>
      <c r="K15" s="6"/>
      <c r="L15" s="6"/>
      <c r="M15" s="6"/>
      <c r="N15" s="6"/>
      <c r="O15" s="7"/>
    </row>
    <row r="16" spans="2:15" x14ac:dyDescent="0.25">
      <c r="B16" s="5"/>
      <c r="C16" s="6"/>
      <c r="D16" s="6"/>
      <c r="E16" s="6"/>
      <c r="F16" s="6"/>
      <c r="G16" s="6"/>
      <c r="H16" s="6"/>
      <c r="I16" s="6"/>
      <c r="J16" s="6"/>
      <c r="K16" s="6"/>
      <c r="L16" s="6"/>
      <c r="M16" s="6"/>
      <c r="N16" s="6"/>
      <c r="O16" s="7"/>
    </row>
    <row r="17" spans="2:15" x14ac:dyDescent="0.25">
      <c r="B17" s="5"/>
      <c r="C17" s="6"/>
      <c r="D17" s="6"/>
      <c r="E17" s="6"/>
      <c r="F17" s="6"/>
      <c r="G17" s="6"/>
      <c r="H17" s="6"/>
      <c r="I17" s="6"/>
      <c r="J17" s="6"/>
      <c r="K17" s="6"/>
      <c r="L17" s="6"/>
      <c r="M17" s="6"/>
      <c r="N17" s="6"/>
      <c r="O17" s="7"/>
    </row>
    <row r="18" spans="2:15" ht="15.75" thickBot="1" x14ac:dyDescent="0.3">
      <c r="B18" s="8"/>
      <c r="C18" s="9"/>
      <c r="D18" s="9"/>
      <c r="E18" s="9"/>
      <c r="F18" s="9"/>
      <c r="G18" s="9"/>
      <c r="H18" s="9"/>
      <c r="I18" s="9"/>
      <c r="J18" s="9"/>
      <c r="K18" s="9"/>
      <c r="L18" s="9"/>
      <c r="M18" s="9"/>
      <c r="N18" s="9"/>
      <c r="O18" s="10"/>
    </row>
  </sheetData>
  <sheetProtection algorithmName="SHA-512" hashValue="jixiNfD+nofjAxMPyQEwidGoTJEdLEh3lZobn98nwgWvzNuweENJPEe6u5elpVqKe6ynHDatuY0qk+QHeybBlg==" saltValue="4rftt6+0w0ym0OjRMUwWOw==" spinCount="100000" sheet="1" objects="1" scenarios="1"/>
  <mergeCells count="3">
    <mergeCell ref="B3:O3"/>
    <mergeCell ref="B4:O4"/>
    <mergeCell ref="C6:N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5:T19"/>
  <sheetViews>
    <sheetView topLeftCell="A4" zoomScale="89" zoomScaleNormal="89" workbookViewId="0">
      <selection activeCell="H19" sqref="H19"/>
    </sheetView>
  </sheetViews>
  <sheetFormatPr baseColWidth="10" defaultRowHeight="15" x14ac:dyDescent="0.2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42"/>
    <col min="10" max="10" width="11.85546875" style="42" bestFit="1" customWidth="1"/>
    <col min="11" max="16384" width="11.42578125" style="1"/>
  </cols>
  <sheetData>
    <row r="5" spans="2:20" ht="15.75" thickBot="1" x14ac:dyDescent="0.3"/>
    <row r="6" spans="2:20" x14ac:dyDescent="0.25">
      <c r="B6" s="11"/>
      <c r="C6" s="12"/>
      <c r="D6" s="12"/>
      <c r="E6" s="12"/>
      <c r="F6" s="12"/>
      <c r="G6" s="13"/>
    </row>
    <row r="7" spans="2:20" ht="21" x14ac:dyDescent="0.35">
      <c r="B7" s="95" t="s">
        <v>109</v>
      </c>
      <c r="C7" s="96"/>
      <c r="D7" s="96"/>
      <c r="E7" s="96"/>
      <c r="F7" s="96"/>
      <c r="G7" s="97"/>
      <c r="T7" s="1" t="s">
        <v>12</v>
      </c>
    </row>
    <row r="8" spans="2:20" ht="15.75" thickBot="1" x14ac:dyDescent="0.3">
      <c r="B8" s="14"/>
      <c r="C8" s="15"/>
      <c r="D8" s="103" t="s">
        <v>148</v>
      </c>
      <c r="E8" s="103"/>
      <c r="F8" s="15"/>
      <c r="G8" s="16"/>
      <c r="T8" s="1" t="s">
        <v>13</v>
      </c>
    </row>
    <row r="9" spans="2:20" ht="15.75" thickBot="1" x14ac:dyDescent="0.3">
      <c r="B9" s="101" t="s">
        <v>111</v>
      </c>
      <c r="C9" s="102"/>
      <c r="D9" s="79">
        <v>44599</v>
      </c>
      <c r="E9" s="15"/>
      <c r="F9" s="15"/>
      <c r="G9" s="16"/>
      <c r="T9" s="1" t="s">
        <v>14</v>
      </c>
    </row>
    <row r="10" spans="2:20" x14ac:dyDescent="0.25">
      <c r="B10" s="14" t="s">
        <v>174</v>
      </c>
      <c r="C10" s="15"/>
      <c r="D10" s="15"/>
      <c r="E10" s="15"/>
      <c r="F10" s="15"/>
      <c r="G10" s="67">
        <v>43545</v>
      </c>
    </row>
    <row r="11" spans="2:20" x14ac:dyDescent="0.25">
      <c r="B11" s="22" t="s">
        <v>15</v>
      </c>
      <c r="C11" s="23" t="s">
        <v>16</v>
      </c>
      <c r="D11" s="24" t="s">
        <v>6</v>
      </c>
      <c r="E11" s="23" t="s">
        <v>7</v>
      </c>
      <c r="F11" s="23" t="s">
        <v>17</v>
      </c>
      <c r="G11" s="25" t="s">
        <v>79</v>
      </c>
    </row>
    <row r="12" spans="2:20" x14ac:dyDescent="0.25">
      <c r="B12" s="21" t="s">
        <v>0</v>
      </c>
      <c r="C12" s="78" t="s">
        <v>12</v>
      </c>
      <c r="D12" s="79">
        <v>43671</v>
      </c>
      <c r="E12" s="78" t="s">
        <v>183</v>
      </c>
      <c r="F12" s="79"/>
      <c r="G12" s="80" t="str">
        <f>+IF(C12="SI",IF(F12&lt;$G$10,"DESACTUALIZADO",""),"")</f>
        <v>DESACTUALIZADO</v>
      </c>
      <c r="H12" s="42">
        <f t="shared" ref="H12:H17" si="0">+IF(C12="N/A",1,0)</f>
        <v>0</v>
      </c>
      <c r="I12" s="42">
        <f t="shared" ref="I12:I17" si="1">+IF(C12="Si",1,0)</f>
        <v>1</v>
      </c>
      <c r="J12" s="42">
        <f t="shared" ref="J12:J17" si="2">+IF(C12="No",1,0)</f>
        <v>0</v>
      </c>
    </row>
    <row r="13" spans="2:20" x14ac:dyDescent="0.25">
      <c r="B13" s="21" t="s">
        <v>1</v>
      </c>
      <c r="C13" s="78" t="s">
        <v>12</v>
      </c>
      <c r="D13" s="79">
        <v>44259</v>
      </c>
      <c r="E13" s="78" t="s">
        <v>194</v>
      </c>
      <c r="F13" s="79">
        <v>44323</v>
      </c>
      <c r="G13" s="80" t="str">
        <f t="shared" ref="G13:G17" si="3">+IF(C13="SI",IF(F13&lt;$G$10,"DESACTUALIZADO",""),"")</f>
        <v/>
      </c>
      <c r="H13" s="42">
        <f t="shared" si="0"/>
        <v>0</v>
      </c>
      <c r="I13" s="42">
        <f t="shared" si="1"/>
        <v>1</v>
      </c>
      <c r="J13" s="42">
        <f t="shared" si="2"/>
        <v>0</v>
      </c>
    </row>
    <row r="14" spans="2:20" x14ac:dyDescent="0.25">
      <c r="B14" s="21" t="s">
        <v>2</v>
      </c>
      <c r="C14" s="78" t="s">
        <v>12</v>
      </c>
      <c r="D14" s="79">
        <v>43671</v>
      </c>
      <c r="E14" s="78" t="s">
        <v>182</v>
      </c>
      <c r="F14" s="78"/>
      <c r="G14" s="80" t="str">
        <f t="shared" si="3"/>
        <v>DESACTUALIZADO</v>
      </c>
      <c r="H14" s="42">
        <f t="shared" si="0"/>
        <v>0</v>
      </c>
      <c r="I14" s="42">
        <f t="shared" si="1"/>
        <v>1</v>
      </c>
      <c r="J14" s="42">
        <f t="shared" si="2"/>
        <v>0</v>
      </c>
      <c r="T14" s="48">
        <v>43545</v>
      </c>
    </row>
    <row r="15" spans="2:20" x14ac:dyDescent="0.25">
      <c r="B15" s="21" t="s">
        <v>3</v>
      </c>
      <c r="C15" s="78" t="s">
        <v>12</v>
      </c>
      <c r="D15" s="79">
        <v>44588</v>
      </c>
      <c r="E15" s="78" t="s">
        <v>184</v>
      </c>
      <c r="F15" s="79">
        <v>44370</v>
      </c>
      <c r="G15" s="80" t="str">
        <f t="shared" si="3"/>
        <v/>
      </c>
      <c r="H15" s="42">
        <f t="shared" si="0"/>
        <v>0</v>
      </c>
      <c r="I15" s="42">
        <f t="shared" si="1"/>
        <v>1</v>
      </c>
      <c r="J15" s="42">
        <f t="shared" si="2"/>
        <v>0</v>
      </c>
    </row>
    <row r="16" spans="2:20" x14ac:dyDescent="0.25">
      <c r="B16" s="21" t="s">
        <v>4</v>
      </c>
      <c r="C16" s="78" t="s">
        <v>12</v>
      </c>
      <c r="D16" s="79">
        <v>44154</v>
      </c>
      <c r="E16" s="78" t="s">
        <v>185</v>
      </c>
      <c r="F16" s="79">
        <v>44456</v>
      </c>
      <c r="G16" s="80" t="str">
        <f t="shared" si="3"/>
        <v/>
      </c>
      <c r="H16" s="42">
        <f t="shared" si="0"/>
        <v>0</v>
      </c>
      <c r="I16" s="42">
        <f t="shared" si="1"/>
        <v>1</v>
      </c>
      <c r="J16" s="42">
        <f t="shared" si="2"/>
        <v>0</v>
      </c>
    </row>
    <row r="17" spans="2:10" x14ac:dyDescent="0.25">
      <c r="B17" s="21" t="s">
        <v>5</v>
      </c>
      <c r="C17" s="78" t="s">
        <v>12</v>
      </c>
      <c r="D17" s="79">
        <v>43899</v>
      </c>
      <c r="E17" s="78" t="s">
        <v>186</v>
      </c>
      <c r="F17" s="79">
        <v>44463</v>
      </c>
      <c r="G17" s="80" t="str">
        <f t="shared" si="3"/>
        <v/>
      </c>
      <c r="H17" s="42">
        <f t="shared" si="0"/>
        <v>0</v>
      </c>
      <c r="I17" s="42">
        <f t="shared" si="1"/>
        <v>1</v>
      </c>
      <c r="J17" s="42">
        <f t="shared" si="2"/>
        <v>0</v>
      </c>
    </row>
    <row r="18" spans="2:10" x14ac:dyDescent="0.25">
      <c r="B18" s="14"/>
      <c r="C18" s="15"/>
      <c r="D18" s="15"/>
      <c r="E18" s="15"/>
      <c r="F18" s="15"/>
      <c r="G18" s="16"/>
    </row>
    <row r="19" spans="2:10" ht="94.5" customHeight="1" thickBot="1" x14ac:dyDescent="0.3">
      <c r="B19" s="62" t="s">
        <v>94</v>
      </c>
      <c r="C19" s="98" t="s">
        <v>195</v>
      </c>
      <c r="D19" s="99"/>
      <c r="E19" s="99"/>
      <c r="F19" s="99"/>
      <c r="G19" s="100"/>
    </row>
  </sheetData>
  <sheetProtection algorithmName="SHA-512" hashValue="oHz1DPDdCQTfk6HZYZzwTSwYDKTppR1PbQ2tnrxwRrliyvD3HJxqgmjnxso6QvoYykx3jGyO1xZtda5gpn7FiQ==" saltValue="yDPNcT7s0avqeYJyH+YnUg==" spinCount="100000" sheet="1" objects="1" scenarios="1"/>
  <dataConsolidate/>
  <mergeCells count="4">
    <mergeCell ref="B7:G7"/>
    <mergeCell ref="C19:G19"/>
    <mergeCell ref="B9:C9"/>
    <mergeCell ref="D8:E8"/>
  </mergeCells>
  <conditionalFormatting sqref="C12:C17">
    <cfRule type="containsText" dxfId="42" priority="12" operator="containsText" text="N/A">
      <formula>NOT(ISERROR(SEARCH("N/A",C12)))</formula>
    </cfRule>
    <cfRule type="containsBlanks" dxfId="41" priority="20">
      <formula>LEN(TRIM(C12))=0</formula>
    </cfRule>
  </conditionalFormatting>
  <conditionalFormatting sqref="D9">
    <cfRule type="containsBlanks" dxfId="40" priority="19">
      <formula>LEN(TRIM(D9))=0</formula>
    </cfRule>
  </conditionalFormatting>
  <conditionalFormatting sqref="D12:F17">
    <cfRule type="containsBlanks" dxfId="39" priority="14">
      <formula>LEN(TRIM(D12))=0</formula>
    </cfRule>
  </conditionalFormatting>
  <conditionalFormatting sqref="C19">
    <cfRule type="containsBlanks" dxfId="38" priority="13">
      <formula>LEN(TRIM(C19))=0</formula>
    </cfRule>
  </conditionalFormatting>
  <conditionalFormatting sqref="D12:F12">
    <cfRule type="expression" dxfId="37" priority="8">
      <formula>OR($C$12="No",$C$12="N/A")</formula>
    </cfRule>
  </conditionalFormatting>
  <conditionalFormatting sqref="D14:F14">
    <cfRule type="expression" dxfId="36" priority="7">
      <formula>OR($C$14="No",$C$14="N/A")</formula>
    </cfRule>
  </conditionalFormatting>
  <conditionalFormatting sqref="D13:F13">
    <cfRule type="expression" dxfId="35" priority="5">
      <formula>OR($C$13="No",$C$13="N/A")</formula>
    </cfRule>
  </conditionalFormatting>
  <conditionalFormatting sqref="D15:F15">
    <cfRule type="expression" dxfId="34" priority="3">
      <formula>OR($C$15="No",$C$15="N/A")</formula>
    </cfRule>
  </conditionalFormatting>
  <conditionalFormatting sqref="D16:F16">
    <cfRule type="expression" dxfId="33" priority="2">
      <formula>OR($C$16="No",$C$16="N/A")</formula>
    </cfRule>
  </conditionalFormatting>
  <conditionalFormatting sqref="D17:F17">
    <cfRule type="expression" dxfId="32" priority="1">
      <formula>OR($C$17="No",$C$17="N/A")</formula>
    </cfRule>
  </conditionalFormatting>
  <dataValidations count="5">
    <dataValidation type="date" showInputMessage="1" showErrorMessage="1" promptTitle="Fecha de Generacion del Reporte" prompt="Indique la fecha en que genera o Elabora este reporte de Usuarios Activos  No Abogados" sqref="D9" xr:uid="{00000000-0002-0000-0100-000000000000}">
      <formula1>44580</formula1>
      <formula2>44642</formula2>
    </dataValidation>
    <dataValidation type="date" showInputMessage="1" showErrorMessage="1" errorTitle="Fecha invalida" error="La fecha debe estar entre el 01/01/2011 y el 31/03/2022" promptTitle="Fecha de Creación del Rol" prompt="Indique la ultima fecha de Creación del Rol en Ekogui que se encuentra en estado Activo en el formato &quot;DD/MM/AAAA&quot;" sqref="D12:D17 F12:F17" xr:uid="{00000000-0002-0000-0100-000001000000}">
      <formula1>40544</formula1>
      <formula2>44651</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xr:uid="{00000000-0002-0000-0100-000002000000}">
      <formula1>$T$7:$T$9</formula1>
    </dataValidation>
    <dataValidation showInputMessage="1" showErrorMessage="1" sqref="E12 E14:E17" xr:uid="{00000000-0002-0000-0100-000003000000}"/>
    <dataValidation showInputMessage="1" showErrorMessage="1" errorTitle="Fecha invalida" error="La fecha debe estar entre el 01/01/2011 y el 31/03/2022" sqref="E13" xr:uid="{00000000-0002-0000-0100-000004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V26"/>
  <sheetViews>
    <sheetView showGridLines="0" topLeftCell="A7" zoomScale="91" zoomScaleNormal="91" workbookViewId="0">
      <selection activeCell="C22" sqref="C22:G25"/>
    </sheetView>
  </sheetViews>
  <sheetFormatPr baseColWidth="10" defaultRowHeight="15" x14ac:dyDescent="0.25"/>
  <cols>
    <col min="1" max="1" width="3.85546875" style="1" customWidth="1"/>
    <col min="2" max="2" width="11.42578125" style="1"/>
    <col min="3" max="3" width="48.140625" style="1" bestFit="1" customWidth="1"/>
    <col min="4" max="4" width="20.85546875" style="1" customWidth="1"/>
    <col min="5" max="5" width="6.28515625" style="1" customWidth="1"/>
    <col min="6" max="6" width="41.42578125" style="1" customWidth="1"/>
    <col min="7" max="7" width="24.14062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row>
    <row r="3" spans="2:22" x14ac:dyDescent="0.25">
      <c r="B3" s="14"/>
      <c r="C3" s="15"/>
      <c r="D3" s="15"/>
      <c r="E3" s="15"/>
      <c r="F3" s="15"/>
      <c r="G3" s="15"/>
      <c r="H3" s="16"/>
      <c r="V3" s="28">
        <f>+IF(D12&lt;=10,D12,IF(ROUNDDOWN(D12*10%,0)&lt;10,10,ROUNDDOWN(D12*10%,0)))</f>
        <v>3</v>
      </c>
    </row>
    <row r="4" spans="2:22" x14ac:dyDescent="0.25">
      <c r="B4" s="14"/>
      <c r="C4" s="15"/>
      <c r="D4" s="15"/>
      <c r="E4" s="15"/>
      <c r="F4" s="15"/>
      <c r="G4" s="15"/>
      <c r="H4" s="16"/>
    </row>
    <row r="5" spans="2:22" x14ac:dyDescent="0.25">
      <c r="B5" s="14"/>
      <c r="C5" s="15"/>
      <c r="D5" s="15" t="s">
        <v>148</v>
      </c>
      <c r="E5" s="15"/>
      <c r="F5" s="15"/>
      <c r="G5" s="15"/>
      <c r="H5" s="16"/>
    </row>
    <row r="6" spans="2:22" ht="15" customHeight="1" x14ac:dyDescent="0.25">
      <c r="B6" s="14"/>
      <c r="C6" s="27"/>
      <c r="D6" s="27"/>
      <c r="E6" s="27"/>
      <c r="G6" s="32"/>
      <c r="H6" s="33"/>
    </row>
    <row r="7" spans="2:22" ht="17.25" customHeight="1" x14ac:dyDescent="0.35">
      <c r="B7" s="14"/>
      <c r="C7" s="20" t="s">
        <v>111</v>
      </c>
      <c r="D7" s="79">
        <v>44599</v>
      </c>
      <c r="E7" s="26"/>
      <c r="F7" s="104" t="str">
        <f>"Seleccione una muestra de "&amp;V3&amp;" abogados activos y complete la siguiente tabla"</f>
        <v>Seleccione una muestra de 3 abogados activos y complete la siguiente tabla</v>
      </c>
      <c r="G7" s="105"/>
      <c r="H7" s="33"/>
    </row>
    <row r="8" spans="2:22" x14ac:dyDescent="0.25">
      <c r="B8" s="14"/>
      <c r="D8" s="15"/>
      <c r="E8" s="15"/>
      <c r="F8" s="106"/>
      <c r="G8" s="107"/>
      <c r="H8" s="16"/>
      <c r="T8" s="1" t="s">
        <v>13</v>
      </c>
    </row>
    <row r="9" spans="2:22" ht="23.25" x14ac:dyDescent="0.25">
      <c r="B9" s="14"/>
      <c r="C9" s="34" t="s">
        <v>149</v>
      </c>
      <c r="E9" s="6"/>
      <c r="F9" s="24" t="s">
        <v>98</v>
      </c>
      <c r="G9" s="24" t="s">
        <v>19</v>
      </c>
      <c r="H9" s="16"/>
      <c r="T9" s="1" t="s">
        <v>14</v>
      </c>
    </row>
    <row r="10" spans="2:22" x14ac:dyDescent="0.25">
      <c r="B10" s="14"/>
      <c r="C10" s="23" t="s">
        <v>150</v>
      </c>
      <c r="D10" s="23" t="s">
        <v>23</v>
      </c>
      <c r="E10" s="6"/>
      <c r="F10" s="20" t="s">
        <v>95</v>
      </c>
      <c r="G10" s="78">
        <v>3</v>
      </c>
      <c r="H10" s="16"/>
    </row>
    <row r="11" spans="2:22" x14ac:dyDescent="0.25">
      <c r="B11" s="14"/>
      <c r="C11" s="20" t="s">
        <v>21</v>
      </c>
      <c r="D11" s="78">
        <v>2</v>
      </c>
      <c r="E11" s="6"/>
      <c r="F11" s="20" t="s">
        <v>96</v>
      </c>
      <c r="G11" s="78">
        <v>3</v>
      </c>
      <c r="H11" s="16"/>
    </row>
    <row r="12" spans="2:22" x14ac:dyDescent="0.25">
      <c r="B12" s="14"/>
      <c r="C12" s="20" t="s">
        <v>22</v>
      </c>
      <c r="D12" s="78">
        <v>3</v>
      </c>
      <c r="E12" s="6"/>
      <c r="F12" s="20" t="s">
        <v>97</v>
      </c>
      <c r="G12" s="78">
        <v>3</v>
      </c>
      <c r="H12" s="16"/>
    </row>
    <row r="13" spans="2:22" x14ac:dyDescent="0.25">
      <c r="B13" s="14"/>
      <c r="C13" s="20" t="s">
        <v>26</v>
      </c>
      <c r="D13" s="78">
        <v>3</v>
      </c>
      <c r="E13" s="6"/>
      <c r="F13" s="52" t="s">
        <v>103</v>
      </c>
      <c r="G13" s="51"/>
      <c r="H13" s="16"/>
    </row>
    <row r="14" spans="2:22" x14ac:dyDescent="0.25">
      <c r="B14" s="14"/>
      <c r="E14" s="6"/>
      <c r="F14" s="53" t="s">
        <v>104</v>
      </c>
      <c r="G14" s="54"/>
      <c r="H14" s="16"/>
    </row>
    <row r="15" spans="2:22" x14ac:dyDescent="0.25">
      <c r="B15" s="14"/>
      <c r="E15" s="6"/>
      <c r="H15" s="16"/>
    </row>
    <row r="16" spans="2:22" x14ac:dyDescent="0.25">
      <c r="B16" s="14"/>
      <c r="C16" s="23" t="s">
        <v>24</v>
      </c>
      <c r="D16" s="23" t="s">
        <v>23</v>
      </c>
      <c r="E16" s="6"/>
      <c r="F16" s="24" t="s">
        <v>107</v>
      </c>
      <c r="G16" s="24" t="s">
        <v>19</v>
      </c>
      <c r="H16" s="16"/>
    </row>
    <row r="17" spans="2:8" x14ac:dyDescent="0.25">
      <c r="B17" s="14"/>
      <c r="C17" s="20" t="s">
        <v>175</v>
      </c>
      <c r="D17" s="78">
        <v>1</v>
      </c>
      <c r="E17" s="6"/>
      <c r="F17" s="20" t="s">
        <v>110</v>
      </c>
      <c r="G17" s="78">
        <v>2</v>
      </c>
      <c r="H17" s="16"/>
    </row>
    <row r="18" spans="2:8" x14ac:dyDescent="0.25">
      <c r="B18" s="14"/>
      <c r="C18" s="20" t="s">
        <v>176</v>
      </c>
      <c r="D18" s="78">
        <v>0</v>
      </c>
      <c r="E18" s="6"/>
      <c r="F18" s="49" t="s">
        <v>80</v>
      </c>
      <c r="G18" s="78">
        <v>0</v>
      </c>
      <c r="H18" s="16"/>
    </row>
    <row r="19" spans="2:8" x14ac:dyDescent="0.25">
      <c r="B19" s="14"/>
      <c r="C19" s="59"/>
      <c r="E19" s="6"/>
      <c r="F19" s="20" t="s">
        <v>100</v>
      </c>
      <c r="G19" s="78">
        <v>0</v>
      </c>
      <c r="H19" s="16"/>
    </row>
    <row r="20" spans="2:8" x14ac:dyDescent="0.25">
      <c r="B20" s="14"/>
      <c r="C20" s="59"/>
      <c r="E20" s="6"/>
      <c r="F20" s="20" t="s">
        <v>25</v>
      </c>
      <c r="G20" s="78">
        <v>1</v>
      </c>
      <c r="H20" s="16"/>
    </row>
    <row r="21" spans="2:8" x14ac:dyDescent="0.25">
      <c r="B21" s="14"/>
      <c r="C21" s="82" t="s">
        <v>99</v>
      </c>
      <c r="D21" s="83"/>
      <c r="E21" s="84"/>
      <c r="F21" s="86"/>
      <c r="G21" s="86"/>
      <c r="H21" s="85"/>
    </row>
    <row r="22" spans="2:8" x14ac:dyDescent="0.25">
      <c r="B22" s="14"/>
      <c r="C22" s="108" t="s">
        <v>187</v>
      </c>
      <c r="D22" s="109"/>
      <c r="E22" s="109"/>
      <c r="F22" s="109"/>
      <c r="G22" s="110"/>
      <c r="H22" s="16"/>
    </row>
    <row r="23" spans="2:8" x14ac:dyDescent="0.25">
      <c r="B23" s="14"/>
      <c r="C23" s="111"/>
      <c r="D23" s="112"/>
      <c r="E23" s="112"/>
      <c r="F23" s="112"/>
      <c r="G23" s="113"/>
      <c r="H23" s="16"/>
    </row>
    <row r="24" spans="2:8" x14ac:dyDescent="0.25">
      <c r="B24" s="14"/>
      <c r="C24" s="111"/>
      <c r="D24" s="112"/>
      <c r="E24" s="112"/>
      <c r="F24" s="112"/>
      <c r="G24" s="113"/>
      <c r="H24" s="16"/>
    </row>
    <row r="25" spans="2:8" x14ac:dyDescent="0.25">
      <c r="B25" s="14"/>
      <c r="C25" s="114"/>
      <c r="D25" s="115"/>
      <c r="E25" s="115"/>
      <c r="F25" s="115"/>
      <c r="G25" s="116"/>
      <c r="H25" s="16"/>
    </row>
    <row r="26" spans="2:8" ht="15.75" thickBot="1" x14ac:dyDescent="0.3">
      <c r="B26" s="17"/>
      <c r="C26" s="18"/>
      <c r="D26" s="18"/>
      <c r="E26" s="18"/>
      <c r="F26" s="18"/>
      <c r="G26" s="18"/>
      <c r="H26" s="19"/>
    </row>
  </sheetData>
  <sheetProtection algorithmName="SHA-512" hashValue="9NwfrAZwwCCqcnmjgItUn7cSCgEOM1RfPFDCS/YBNTlj50wGzL24n1SYV7L5mQM/ZmVrcd+lsAQ/bVkRaodCXg==" saltValue="DgJkwMDcocd3A27+7ly9aA==" spinCount="100000" sheet="1" objects="1" scenarios="1"/>
  <mergeCells count="2">
    <mergeCell ref="F7:G8"/>
    <mergeCell ref="C22:G25"/>
  </mergeCells>
  <conditionalFormatting sqref="D11:D13">
    <cfRule type="containsBlanks" dxfId="31" priority="13">
      <formula>LEN(TRIM(D11))=0</formula>
    </cfRule>
  </conditionalFormatting>
  <conditionalFormatting sqref="C22">
    <cfRule type="containsBlanks" dxfId="30" priority="9">
      <formula>LEN(TRIM(C22))=0</formula>
    </cfRule>
  </conditionalFormatting>
  <conditionalFormatting sqref="D17:D18">
    <cfRule type="containsBlanks" dxfId="29" priority="5">
      <formula>LEN(TRIM(D17))=0</formula>
    </cfRule>
  </conditionalFormatting>
  <conditionalFormatting sqref="G10:G12">
    <cfRule type="containsBlanks" dxfId="28" priority="4">
      <formula>LEN(TRIM(G10))=0</formula>
    </cfRule>
  </conditionalFormatting>
  <conditionalFormatting sqref="G17:G20">
    <cfRule type="containsBlanks" dxfId="27" priority="3">
      <formula>LEN(TRIM(G17))=0</formula>
    </cfRule>
  </conditionalFormatting>
  <conditionalFormatting sqref="D7">
    <cfRule type="containsBlanks" dxfId="26" priority="1">
      <formula>LEN(TRIM(D7))=0</formula>
    </cfRule>
  </conditionalFormatting>
  <dataValidations count="2">
    <dataValidation type="whole" operator="greaterThanOrEqual" showInputMessage="1" showErrorMessage="1" errorTitle="Numero Invalido" promptTitle="Ingrese la cantidad Solicitada" prompt="Ingrese la cantidad Solicitada" sqref="G17:G20 D17:D18 G10:G12 D11:D13" xr:uid="{00000000-0002-0000-0200-000000000000}">
      <formula1>0</formula1>
    </dataValidation>
    <dataValidation type="date" showInputMessage="1" showErrorMessage="1" errorTitle="FECHA INVALIDA" promptTitle="Fecha de Generacion del Reporte " prompt="Diligenciar la fecha de Generacion de este Reporte de Usuarios Abogados Formato (DD/MM/AAAA)" sqref="D7" xr:uid="{00000000-0002-0000-0200-000001000000}">
      <formula1>44580</formula1>
      <formula2>44642</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W34"/>
  <sheetViews>
    <sheetView showGridLines="0" topLeftCell="A13" zoomScale="80" zoomScaleNormal="80" workbookViewId="0">
      <selection activeCell="C35" sqref="C35"/>
    </sheetView>
  </sheetViews>
  <sheetFormatPr baseColWidth="10" defaultRowHeight="15" x14ac:dyDescent="0.25"/>
  <cols>
    <col min="1" max="1" width="3.85546875" style="1" customWidth="1"/>
    <col min="2" max="2" width="11.42578125" style="1"/>
    <col min="3" max="3" width="67.42578125" style="1" customWidth="1"/>
    <col min="4" max="4" width="15.28515625" style="1" customWidth="1"/>
    <col min="5" max="5" width="6.28515625" style="1" customWidth="1"/>
    <col min="6" max="6" width="63.5703125" style="1" customWidth="1"/>
    <col min="7" max="7" width="16.85546875" style="1" customWidth="1"/>
    <col min="8" max="8" width="15.28515625" style="1" customWidth="1"/>
    <col min="9" max="9" width="7.28515625" style="1" customWidth="1"/>
    <col min="10" max="16384" width="11.42578125" style="1"/>
  </cols>
  <sheetData>
    <row r="1" spans="2:23" ht="15.75" thickBot="1" x14ac:dyDescent="0.3"/>
    <row r="2" spans="2:23" ht="9" customHeight="1" x14ac:dyDescent="0.25">
      <c r="B2" s="29"/>
      <c r="C2" s="30"/>
      <c r="D2" s="30"/>
      <c r="E2" s="30"/>
      <c r="F2" s="30"/>
      <c r="G2" s="30"/>
      <c r="H2" s="30"/>
      <c r="I2" s="31"/>
    </row>
    <row r="3" spans="2:23" x14ac:dyDescent="0.25">
      <c r="B3" s="14"/>
      <c r="C3" s="15"/>
      <c r="D3" s="15"/>
      <c r="E3" s="15"/>
      <c r="F3" s="15"/>
      <c r="G3" s="15"/>
      <c r="H3" s="15"/>
      <c r="I3" s="16"/>
      <c r="W3" s="28">
        <f>+IF(D17&lt;=10,D17,IF(ROUNDDOWN(D17*10%,0)&lt;10,10,ROUNDDOWN(D17*10%,0)))</f>
        <v>3</v>
      </c>
    </row>
    <row r="4" spans="2:23" x14ac:dyDescent="0.25">
      <c r="B4" s="14"/>
      <c r="C4" s="15"/>
      <c r="D4" s="15"/>
      <c r="E4" s="15"/>
      <c r="F4" s="15"/>
      <c r="G4" s="15"/>
      <c r="H4" s="15"/>
      <c r="I4" s="16"/>
    </row>
    <row r="5" spans="2:23" ht="9" customHeight="1" x14ac:dyDescent="0.25">
      <c r="B5" s="14"/>
      <c r="C5" s="15"/>
      <c r="D5" s="15"/>
      <c r="E5" s="15"/>
      <c r="F5" s="15"/>
      <c r="G5" s="15"/>
      <c r="H5" s="15"/>
      <c r="I5" s="16"/>
    </row>
    <row r="6" spans="2:23" ht="19.5" customHeight="1" x14ac:dyDescent="0.25">
      <c r="B6" s="14"/>
      <c r="C6" s="122" t="s">
        <v>68</v>
      </c>
      <c r="D6" s="122"/>
      <c r="E6" s="122"/>
      <c r="F6" s="122"/>
      <c r="G6" s="122"/>
      <c r="H6" s="122"/>
      <c r="I6" s="33"/>
    </row>
    <row r="7" spans="2:23" x14ac:dyDescent="0.25">
      <c r="B7" s="14"/>
      <c r="C7" s="15"/>
      <c r="D7" s="27"/>
      <c r="E7" s="81" t="s">
        <v>148</v>
      </c>
      <c r="F7" s="27"/>
      <c r="G7" s="15"/>
      <c r="H7" s="15"/>
      <c r="I7" s="16"/>
      <c r="U7" s="1" t="s">
        <v>13</v>
      </c>
    </row>
    <row r="8" spans="2:23" x14ac:dyDescent="0.25">
      <c r="B8" s="14"/>
      <c r="C8" s="23" t="s">
        <v>111</v>
      </c>
      <c r="D8" s="79">
        <v>44606</v>
      </c>
      <c r="E8" s="6"/>
      <c r="F8" s="37" t="s">
        <v>106</v>
      </c>
      <c r="G8" s="37" t="s">
        <v>18</v>
      </c>
      <c r="H8" s="15"/>
      <c r="I8" s="16"/>
      <c r="U8" s="1" t="s">
        <v>14</v>
      </c>
    </row>
    <row r="9" spans="2:23" x14ac:dyDescent="0.25">
      <c r="B9" s="14"/>
      <c r="E9" s="6"/>
      <c r="F9" s="20" t="s">
        <v>27</v>
      </c>
      <c r="G9" s="78">
        <v>3</v>
      </c>
      <c r="H9" s="15"/>
      <c r="I9" s="16"/>
    </row>
    <row r="10" spans="2:23" x14ac:dyDescent="0.25">
      <c r="B10" s="14"/>
      <c r="C10" s="23" t="s">
        <v>151</v>
      </c>
      <c r="D10" s="23" t="s">
        <v>23</v>
      </c>
      <c r="E10" s="6"/>
      <c r="F10" s="20" t="s">
        <v>60</v>
      </c>
      <c r="G10" s="78">
        <v>3</v>
      </c>
      <c r="H10" s="15"/>
      <c r="I10" s="16"/>
    </row>
    <row r="11" spans="2:23" x14ac:dyDescent="0.25">
      <c r="B11" s="14"/>
      <c r="C11" s="20" t="s">
        <v>28</v>
      </c>
      <c r="D11" s="78">
        <v>175</v>
      </c>
      <c r="E11" s="6"/>
      <c r="F11" s="20" t="s">
        <v>83</v>
      </c>
      <c r="G11" s="78">
        <v>3</v>
      </c>
      <c r="H11" s="15"/>
      <c r="I11" s="16"/>
    </row>
    <row r="12" spans="2:23" x14ac:dyDescent="0.25">
      <c r="B12" s="14"/>
      <c r="C12" s="20" t="s">
        <v>29</v>
      </c>
      <c r="D12" s="78">
        <v>165</v>
      </c>
      <c r="E12" s="6"/>
      <c r="F12" s="38" t="s">
        <v>158</v>
      </c>
      <c r="I12" s="16"/>
    </row>
    <row r="13" spans="2:23" x14ac:dyDescent="0.25">
      <c r="B13" s="14"/>
      <c r="C13" s="20" t="s">
        <v>81</v>
      </c>
      <c r="D13" s="78">
        <v>1</v>
      </c>
      <c r="E13" s="6"/>
      <c r="F13" s="38" t="s">
        <v>84</v>
      </c>
      <c r="I13" s="16"/>
    </row>
    <row r="14" spans="2:23" x14ac:dyDescent="0.25">
      <c r="B14" s="14"/>
      <c r="C14" s="38" t="s">
        <v>152</v>
      </c>
      <c r="E14" s="6"/>
      <c r="F14" s="24" t="s">
        <v>33</v>
      </c>
      <c r="G14" s="24" t="s">
        <v>23</v>
      </c>
      <c r="I14" s="16"/>
    </row>
    <row r="15" spans="2:23" x14ac:dyDescent="0.25">
      <c r="B15" s="14"/>
      <c r="C15" s="23" t="s">
        <v>153</v>
      </c>
      <c r="D15" s="23" t="s">
        <v>23</v>
      </c>
      <c r="E15" s="6"/>
      <c r="F15" s="20" t="s">
        <v>159</v>
      </c>
      <c r="G15" s="78">
        <v>161</v>
      </c>
      <c r="I15" s="16"/>
    </row>
    <row r="16" spans="2:23" x14ac:dyDescent="0.25">
      <c r="B16" s="14"/>
      <c r="C16" s="20" t="s">
        <v>154</v>
      </c>
      <c r="D16" s="78">
        <v>1</v>
      </c>
      <c r="E16" s="6"/>
      <c r="F16" s="20" t="s">
        <v>160</v>
      </c>
      <c r="G16" s="78">
        <v>156</v>
      </c>
      <c r="H16" s="15"/>
      <c r="I16" s="16"/>
    </row>
    <row r="17" spans="2:9" x14ac:dyDescent="0.25">
      <c r="B17" s="14"/>
      <c r="C17" s="20" t="s">
        <v>155</v>
      </c>
      <c r="D17" s="78">
        <v>3</v>
      </c>
      <c r="E17" s="6"/>
      <c r="F17" s="20" t="s">
        <v>161</v>
      </c>
      <c r="G17" s="78">
        <v>0</v>
      </c>
      <c r="H17" s="15"/>
      <c r="I17" s="16"/>
    </row>
    <row r="18" spans="2:9" x14ac:dyDescent="0.25">
      <c r="B18" s="14"/>
      <c r="C18" s="38" t="s">
        <v>113</v>
      </c>
      <c r="E18" s="6"/>
      <c r="F18" s="20" t="s">
        <v>35</v>
      </c>
      <c r="G18" s="78">
        <v>4</v>
      </c>
      <c r="H18" s="15"/>
      <c r="I18" s="16"/>
    </row>
    <row r="19" spans="2:9" x14ac:dyDescent="0.25">
      <c r="B19" s="14"/>
      <c r="E19" s="6"/>
      <c r="H19" s="15"/>
      <c r="I19" s="16"/>
    </row>
    <row r="20" spans="2:9" ht="29.25" customHeight="1" x14ac:dyDescent="0.25">
      <c r="B20" s="14"/>
      <c r="C20" s="50" t="s">
        <v>32</v>
      </c>
      <c r="D20" s="50" t="s">
        <v>23</v>
      </c>
      <c r="E20" s="6"/>
      <c r="F20" s="39" t="s">
        <v>105</v>
      </c>
      <c r="G20" s="39" t="s">
        <v>163</v>
      </c>
      <c r="H20" s="40" t="s">
        <v>67</v>
      </c>
      <c r="I20" s="16"/>
    </row>
    <row r="21" spans="2:9" x14ac:dyDescent="0.25">
      <c r="B21" s="14"/>
      <c r="C21" s="60" t="s">
        <v>156</v>
      </c>
      <c r="D21" s="78">
        <v>75</v>
      </c>
      <c r="E21" s="6"/>
      <c r="F21" s="20" t="s">
        <v>63</v>
      </c>
      <c r="G21" s="78">
        <v>15</v>
      </c>
      <c r="H21" s="78">
        <v>8</v>
      </c>
      <c r="I21" s="16"/>
    </row>
    <row r="22" spans="2:9" ht="15" customHeight="1" x14ac:dyDescent="0.25">
      <c r="B22" s="14"/>
      <c r="C22" s="60" t="s">
        <v>82</v>
      </c>
      <c r="D22" s="78">
        <v>35</v>
      </c>
      <c r="E22" s="6"/>
      <c r="F22" s="20" t="s">
        <v>64</v>
      </c>
      <c r="G22" s="78">
        <v>125</v>
      </c>
      <c r="H22" s="78">
        <v>125</v>
      </c>
      <c r="I22" s="16"/>
    </row>
    <row r="23" spans="2:9" ht="24.75" x14ac:dyDescent="0.25">
      <c r="B23" s="14"/>
      <c r="C23" s="66" t="s">
        <v>157</v>
      </c>
      <c r="D23" s="66"/>
      <c r="E23" s="6"/>
      <c r="F23" s="20" t="s">
        <v>65</v>
      </c>
      <c r="G23" s="78">
        <v>10</v>
      </c>
      <c r="H23" s="78">
        <v>10</v>
      </c>
      <c r="I23" s="16"/>
    </row>
    <row r="24" spans="2:9" x14ac:dyDescent="0.25">
      <c r="B24" s="14"/>
      <c r="C24" s="15"/>
      <c r="E24" s="6"/>
      <c r="F24" s="20" t="s">
        <v>66</v>
      </c>
      <c r="G24" s="78">
        <v>6</v>
      </c>
      <c r="H24" s="78">
        <v>6</v>
      </c>
      <c r="I24" s="16"/>
    </row>
    <row r="25" spans="2:9" ht="30" customHeight="1" x14ac:dyDescent="0.25">
      <c r="B25" s="14"/>
      <c r="C25" s="68" t="str">
        <f>"Seleccione "&amp;W3&amp;" procesos teminados en el  segundo semestre de 2021 y llene la siguiente tabla:"</f>
        <v>Seleccione 3 procesos teminados en el  segundo semestre de 2021 y llene la siguiente tabla:</v>
      </c>
      <c r="D25" s="63"/>
      <c r="E25" s="6"/>
      <c r="F25" s="123" t="s">
        <v>162</v>
      </c>
      <c r="G25" s="123"/>
      <c r="H25" s="123"/>
      <c r="I25" s="16"/>
    </row>
    <row r="26" spans="2:9" ht="15.75" thickBot="1" x14ac:dyDescent="0.3">
      <c r="B26" s="14"/>
      <c r="C26" s="64"/>
      <c r="D26" s="65"/>
      <c r="E26" s="6"/>
      <c r="F26" s="61"/>
      <c r="G26" s="15"/>
      <c r="H26" s="15"/>
      <c r="I26" s="16"/>
    </row>
    <row r="27" spans="2:9" x14ac:dyDescent="0.25">
      <c r="B27" s="14"/>
      <c r="C27" s="50" t="s">
        <v>93</v>
      </c>
      <c r="D27" s="50" t="s">
        <v>23</v>
      </c>
      <c r="E27" s="6"/>
      <c r="F27" s="117" t="s">
        <v>92</v>
      </c>
      <c r="G27" s="118"/>
      <c r="H27" s="119"/>
      <c r="I27" s="16"/>
    </row>
    <row r="28" spans="2:9" x14ac:dyDescent="0.25">
      <c r="B28" s="14"/>
      <c r="C28" s="20" t="s">
        <v>85</v>
      </c>
      <c r="D28" s="78">
        <v>0</v>
      </c>
      <c r="E28" s="6"/>
      <c r="F28" s="120" t="s">
        <v>191</v>
      </c>
      <c r="G28" s="121"/>
      <c r="H28" s="121"/>
      <c r="I28" s="16"/>
    </row>
    <row r="29" spans="2:9" x14ac:dyDescent="0.25">
      <c r="B29" s="14"/>
      <c r="C29" s="20" t="s">
        <v>86</v>
      </c>
      <c r="D29" s="78">
        <v>0</v>
      </c>
      <c r="E29" s="6"/>
      <c r="F29" s="121"/>
      <c r="G29" s="121"/>
      <c r="H29" s="121"/>
      <c r="I29" s="16"/>
    </row>
    <row r="30" spans="2:9" x14ac:dyDescent="0.25">
      <c r="B30" s="14"/>
      <c r="C30" s="20" t="s">
        <v>87</v>
      </c>
      <c r="D30" s="78">
        <v>0</v>
      </c>
      <c r="E30" s="6"/>
      <c r="F30" s="121"/>
      <c r="G30" s="121"/>
      <c r="H30" s="121"/>
      <c r="I30" s="16"/>
    </row>
    <row r="31" spans="2:9" x14ac:dyDescent="0.25">
      <c r="B31" s="14"/>
      <c r="C31" s="20" t="s">
        <v>88</v>
      </c>
      <c r="D31" s="78">
        <v>0</v>
      </c>
      <c r="E31" s="6"/>
      <c r="F31" s="121"/>
      <c r="G31" s="121"/>
      <c r="H31" s="121"/>
      <c r="I31" s="16"/>
    </row>
    <row r="32" spans="2:9" x14ac:dyDescent="0.25">
      <c r="B32" s="14"/>
      <c r="C32" s="20" t="s">
        <v>89</v>
      </c>
      <c r="D32" s="78">
        <v>0</v>
      </c>
      <c r="E32" s="6"/>
      <c r="F32" s="121"/>
      <c r="G32" s="121"/>
      <c r="H32" s="121"/>
      <c r="I32" s="16"/>
    </row>
    <row r="33" spans="2:9" x14ac:dyDescent="0.25">
      <c r="B33" s="14"/>
      <c r="C33" s="15"/>
      <c r="E33" s="6"/>
      <c r="F33" s="121"/>
      <c r="G33" s="121"/>
      <c r="H33" s="121"/>
      <c r="I33" s="16"/>
    </row>
    <row r="34" spans="2:9" ht="15.75" thickBot="1" x14ac:dyDescent="0.3">
      <c r="B34" s="17"/>
      <c r="C34" s="18"/>
      <c r="D34" s="18"/>
      <c r="E34" s="18"/>
      <c r="F34" s="18"/>
      <c r="G34" s="18"/>
      <c r="H34" s="18"/>
      <c r="I34" s="19"/>
    </row>
  </sheetData>
  <sheetProtection algorithmName="SHA-512" hashValue="XBF41nNb+oM9W4bsjhJQYEs62RY6vNKkdxY+QBvLebA6UVCX8pT0VcHFlVGR/BBGTTD/NcRUs/vA7RtnYQti/A==" saltValue="pMXht+w1d5Ih1rsoRXgsFQ==" spinCount="100000" sheet="1" objects="1" scenarios="1"/>
  <mergeCells count="4">
    <mergeCell ref="F27:H27"/>
    <mergeCell ref="F28:H33"/>
    <mergeCell ref="C6:H6"/>
    <mergeCell ref="F25:H25"/>
  </mergeCells>
  <conditionalFormatting sqref="D8">
    <cfRule type="containsBlanks" dxfId="25" priority="11">
      <formula>LEN(TRIM(D8))=0</formula>
    </cfRule>
  </conditionalFormatting>
  <conditionalFormatting sqref="D11">
    <cfRule type="containsBlanks" dxfId="24" priority="10">
      <formula>LEN(TRIM(D11))=0</formula>
    </cfRule>
  </conditionalFormatting>
  <conditionalFormatting sqref="D12:D13">
    <cfRule type="containsBlanks" dxfId="23" priority="9">
      <formula>LEN(TRIM(D12))=0</formula>
    </cfRule>
  </conditionalFormatting>
  <conditionalFormatting sqref="D16:D17">
    <cfRule type="containsBlanks" dxfId="22" priority="8">
      <formula>LEN(TRIM(D16))=0</formula>
    </cfRule>
  </conditionalFormatting>
  <conditionalFormatting sqref="D21:D22">
    <cfRule type="containsBlanks" dxfId="21" priority="7">
      <formula>LEN(TRIM(D21))=0</formula>
    </cfRule>
  </conditionalFormatting>
  <conditionalFormatting sqref="D28:D32">
    <cfRule type="containsBlanks" dxfId="20" priority="6">
      <formula>LEN(TRIM(D28))=0</formula>
    </cfRule>
  </conditionalFormatting>
  <conditionalFormatting sqref="G9">
    <cfRule type="containsBlanks" dxfId="19" priority="5">
      <formula>LEN(TRIM(G9))=0</formula>
    </cfRule>
  </conditionalFormatting>
  <conditionalFormatting sqref="G10:G11">
    <cfRule type="containsBlanks" dxfId="18" priority="4">
      <formula>LEN(TRIM(G10))=0</formula>
    </cfRule>
  </conditionalFormatting>
  <conditionalFormatting sqref="G15:G18">
    <cfRule type="containsBlanks" dxfId="17" priority="3">
      <formula>LEN(TRIM(G15))=0</formula>
    </cfRule>
  </conditionalFormatting>
  <conditionalFormatting sqref="G21:H24">
    <cfRule type="containsBlanks" dxfId="16" priority="2">
      <formula>LEN(TRIM(G21))=0</formula>
    </cfRule>
  </conditionalFormatting>
  <conditionalFormatting sqref="F28">
    <cfRule type="containsBlanks" dxfId="15" priority="1">
      <formula>LEN(TRIM(F28))=0</formula>
    </cfRule>
  </conditionalFormatting>
  <dataValidations count="2">
    <dataValidation type="date" showInputMessage="1" showErrorMessage="1" errorTitle="FECHA INVALIDA" promptTitle="Fecha de Generacion del Reporte " prompt="Diligenciar la fecha de Generacion de este Reporte de Procesos Judiciales Formato (DD/MM/AAAA)" sqref="D8" xr:uid="{00000000-0002-0000-0300-000000000000}">
      <formula1>44580</formula1>
      <formula2>44642</formula2>
    </dataValidation>
    <dataValidation type="whole" operator="greaterThanOrEqual" showInputMessage="1" showErrorMessage="1" errorTitle="Numero Invalido" promptTitle="Ingrese la cantidad Solicitada" prompt="Ingrese la cantidad Solicitada" sqref="D11:D13 D16:D17 D21:D22 D28:D32 G9:G11 G15:G18 G21:H24" xr:uid="{00000000-0002-0000-0300-000001000000}">
      <formula1>0</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V23"/>
  <sheetViews>
    <sheetView showGridLines="0" topLeftCell="A4" zoomScale="90" zoomScaleNormal="90" workbookViewId="0">
      <selection activeCell="I20" sqref="I20"/>
    </sheetView>
  </sheetViews>
  <sheetFormatPr baseColWidth="10" defaultRowHeight="15" x14ac:dyDescent="0.25"/>
  <cols>
    <col min="1" max="1" width="3.85546875" style="1" customWidth="1"/>
    <col min="2" max="2" width="11.42578125" style="1"/>
    <col min="3" max="3" width="50.85546875" style="1" bestFit="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c r="V2" s="1">
        <f>+D13+D14</f>
        <v>6</v>
      </c>
    </row>
    <row r="3" spans="2:22" x14ac:dyDescent="0.25">
      <c r="B3" s="14"/>
      <c r="C3" s="15"/>
      <c r="D3" s="15"/>
      <c r="E3" s="15"/>
      <c r="F3" s="15"/>
      <c r="G3" s="15"/>
      <c r="H3" s="16"/>
      <c r="V3" s="28">
        <f>+IF(V2&lt;=20,V2,IF(ROUNDDOWN(V2*10%,0)&lt;20,20,ROUNDDOWN(V2*10%,0)))</f>
        <v>6</v>
      </c>
    </row>
    <row r="4" spans="2:22" x14ac:dyDescent="0.25">
      <c r="B4" s="14"/>
      <c r="C4" s="15"/>
      <c r="D4" s="15"/>
      <c r="E4" s="15"/>
      <c r="F4" s="15"/>
      <c r="G4" s="15"/>
      <c r="H4" s="16"/>
    </row>
    <row r="5" spans="2:22" x14ac:dyDescent="0.25">
      <c r="B5" s="14"/>
      <c r="C5" s="15"/>
      <c r="D5" s="15"/>
      <c r="E5" s="15"/>
      <c r="F5" s="15"/>
      <c r="G5" s="15"/>
      <c r="H5" s="16"/>
    </row>
    <row r="6" spans="2:22" ht="15" customHeight="1" x14ac:dyDescent="0.25">
      <c r="B6" s="14"/>
      <c r="C6" s="27"/>
      <c r="D6" s="27"/>
      <c r="E6" s="27"/>
      <c r="G6" s="32"/>
      <c r="H6" s="33"/>
    </row>
    <row r="7" spans="2:22" ht="23.25" x14ac:dyDescent="0.25">
      <c r="B7" s="14"/>
      <c r="C7" s="122" t="s">
        <v>177</v>
      </c>
      <c r="D7" s="122"/>
      <c r="E7" s="122"/>
      <c r="F7" s="122"/>
      <c r="G7" s="122"/>
      <c r="H7" s="33"/>
    </row>
    <row r="8" spans="2:22" x14ac:dyDescent="0.25">
      <c r="B8" s="14"/>
      <c r="C8" s="15"/>
      <c r="D8" s="15"/>
      <c r="E8" s="89" t="s">
        <v>148</v>
      </c>
      <c r="H8" s="16"/>
      <c r="T8" s="1" t="s">
        <v>13</v>
      </c>
    </row>
    <row r="9" spans="2:22" ht="15" customHeight="1" x14ac:dyDescent="0.25">
      <c r="B9" s="14"/>
      <c r="C9" s="23" t="s">
        <v>178</v>
      </c>
      <c r="D9" s="23" t="s">
        <v>23</v>
      </c>
      <c r="E9" s="6"/>
      <c r="F9" s="104" t="str">
        <f>"Seleccione una muestra de "&amp;V3&amp;" prejudiciales activos registrados antes de 1 de julio de 2021 y complete la siguiente tabla"</f>
        <v>Seleccione una muestra de 6 prejudiciales activos registrados antes de 1 de julio de 2021 y complete la siguiente tabla</v>
      </c>
      <c r="G9" s="105"/>
      <c r="H9" s="16"/>
      <c r="T9" s="1" t="s">
        <v>14</v>
      </c>
    </row>
    <row r="10" spans="2:22" x14ac:dyDescent="0.25">
      <c r="B10" s="14"/>
      <c r="C10" s="20" t="s">
        <v>54</v>
      </c>
      <c r="D10" s="78">
        <v>1</v>
      </c>
      <c r="E10" s="6"/>
      <c r="F10" s="106"/>
      <c r="G10" s="107"/>
      <c r="H10" s="16"/>
    </row>
    <row r="11" spans="2:22" x14ac:dyDescent="0.25">
      <c r="B11" s="14"/>
      <c r="C11" s="20" t="s">
        <v>55</v>
      </c>
      <c r="D11" s="78">
        <v>13</v>
      </c>
      <c r="E11" s="6"/>
      <c r="F11" s="24" t="s">
        <v>32</v>
      </c>
      <c r="G11" s="24" t="s">
        <v>57</v>
      </c>
      <c r="H11" s="16"/>
    </row>
    <row r="12" spans="2:22" x14ac:dyDescent="0.25">
      <c r="B12" s="14"/>
      <c r="C12" s="20" t="s">
        <v>164</v>
      </c>
      <c r="D12" s="78">
        <v>7</v>
      </c>
      <c r="E12" s="6"/>
      <c r="F12" s="36" t="s">
        <v>58</v>
      </c>
      <c r="G12" s="78">
        <v>0</v>
      </c>
      <c r="H12" s="16"/>
    </row>
    <row r="13" spans="2:22" x14ac:dyDescent="0.25">
      <c r="B13" s="14"/>
      <c r="C13" s="20" t="s">
        <v>181</v>
      </c>
      <c r="D13" s="78">
        <v>1</v>
      </c>
      <c r="E13" s="6"/>
      <c r="F13" s="20" t="s">
        <v>180</v>
      </c>
      <c r="G13" s="78">
        <v>6</v>
      </c>
      <c r="H13" s="16"/>
    </row>
    <row r="14" spans="2:22" x14ac:dyDescent="0.25">
      <c r="B14" s="14"/>
      <c r="C14" s="20" t="s">
        <v>165</v>
      </c>
      <c r="D14" s="78">
        <v>5</v>
      </c>
      <c r="E14" s="6"/>
      <c r="F14"/>
      <c r="G14"/>
      <c r="H14" s="16"/>
    </row>
    <row r="15" spans="2:22" x14ac:dyDescent="0.25">
      <c r="B15" s="14"/>
      <c r="E15" s="6"/>
      <c r="F15"/>
      <c r="G15"/>
      <c r="H15" s="16"/>
    </row>
    <row r="16" spans="2:22" x14ac:dyDescent="0.25">
      <c r="B16" s="14"/>
      <c r="C16" s="23" t="s">
        <v>179</v>
      </c>
      <c r="D16" s="23" t="s">
        <v>23</v>
      </c>
      <c r="E16" s="6"/>
      <c r="F16" s="124" t="s">
        <v>92</v>
      </c>
      <c r="G16" s="124"/>
      <c r="H16" s="16"/>
    </row>
    <row r="17" spans="2:8" x14ac:dyDescent="0.25">
      <c r="B17" s="14"/>
      <c r="C17" s="20" t="s">
        <v>166</v>
      </c>
      <c r="D17" s="78">
        <v>5</v>
      </c>
      <c r="E17" s="6"/>
      <c r="F17" s="120" t="s">
        <v>192</v>
      </c>
      <c r="G17" s="121"/>
      <c r="H17" s="16"/>
    </row>
    <row r="18" spans="2:8" x14ac:dyDescent="0.25">
      <c r="B18" s="14"/>
      <c r="C18" s="20" t="s">
        <v>167</v>
      </c>
      <c r="D18" s="78">
        <v>3</v>
      </c>
      <c r="E18" s="6"/>
      <c r="F18" s="121"/>
      <c r="G18" s="121"/>
      <c r="H18" s="16"/>
    </row>
    <row r="19" spans="2:8" x14ac:dyDescent="0.25">
      <c r="B19" s="14"/>
      <c r="C19"/>
      <c r="D19"/>
      <c r="E19" s="6"/>
      <c r="F19" s="121"/>
      <c r="G19" s="121"/>
      <c r="H19" s="16"/>
    </row>
    <row r="20" spans="2:8" x14ac:dyDescent="0.25">
      <c r="B20" s="14"/>
      <c r="C20"/>
      <c r="D20"/>
      <c r="E20" s="6"/>
      <c r="F20" s="121"/>
      <c r="G20" s="121"/>
      <c r="H20" s="16"/>
    </row>
    <row r="21" spans="2:8" x14ac:dyDescent="0.25">
      <c r="B21" s="14"/>
      <c r="E21" s="6"/>
      <c r="F21" s="121"/>
      <c r="G21" s="121"/>
      <c r="H21" s="16"/>
    </row>
    <row r="22" spans="2:8" x14ac:dyDescent="0.25">
      <c r="B22" s="14"/>
      <c r="C22" s="15"/>
      <c r="D22" s="15"/>
      <c r="E22" s="6"/>
      <c r="F22" s="121"/>
      <c r="G22" s="121"/>
      <c r="H22" s="16"/>
    </row>
    <row r="23" spans="2:8" ht="15.75" thickBot="1" x14ac:dyDescent="0.3">
      <c r="B23" s="17"/>
      <c r="C23" s="18"/>
      <c r="D23" s="18"/>
      <c r="E23" s="18"/>
      <c r="F23" s="18"/>
      <c r="G23" s="18"/>
      <c r="H23" s="19"/>
    </row>
  </sheetData>
  <sheetProtection algorithmName="SHA-512" hashValue="RTxvkA/X6xl2+KfdbiHdJ6sbvecern8CNICPPfFAOQJxypM+eH9yXKnnLB3GHhoPJhALHrzKXVh8l3sCPJ2Idw==" saltValue="3APmjS7xF8RN9CH5Y9wtNw==" spinCount="100000" sheet="1" objects="1" scenarios="1"/>
  <mergeCells count="4">
    <mergeCell ref="F9:G10"/>
    <mergeCell ref="C7:G7"/>
    <mergeCell ref="F16:G16"/>
    <mergeCell ref="F17:G22"/>
  </mergeCells>
  <conditionalFormatting sqref="D10:D14">
    <cfRule type="containsBlanks" dxfId="14" priority="4">
      <formula>LEN(TRIM(D10))=0</formula>
    </cfRule>
  </conditionalFormatting>
  <conditionalFormatting sqref="D17:D18">
    <cfRule type="containsBlanks" dxfId="13" priority="3">
      <formula>LEN(TRIM(D17))=0</formula>
    </cfRule>
  </conditionalFormatting>
  <conditionalFormatting sqref="G12:G13">
    <cfRule type="containsBlanks" dxfId="12" priority="2">
      <formula>LEN(TRIM(G12))=0</formula>
    </cfRule>
  </conditionalFormatting>
  <conditionalFormatting sqref="F17">
    <cfRule type="containsBlanks" dxfId="11" priority="1">
      <formula>LEN(TRIM(F17))=0</formula>
    </cfRule>
  </conditionalFormatting>
  <dataValidations count="1">
    <dataValidation type="whole" operator="greaterThanOrEqual" showInputMessage="1" showErrorMessage="1" errorTitle="Numero Invalido" promptTitle="Ingrese la cantidad Solicitada" prompt="Ingrese la cantidad Solicitada" sqref="D10:D14 D17:D18 G12:G13" xr:uid="{00000000-0002-0000-0400-000000000000}">
      <formula1>0</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V17"/>
  <sheetViews>
    <sheetView showGridLines="0" workbookViewId="0">
      <selection activeCell="C13" sqref="C13:G16"/>
    </sheetView>
  </sheetViews>
  <sheetFormatPr baseColWidth="10" defaultRowHeight="15" x14ac:dyDescent="0.25"/>
  <cols>
    <col min="1" max="1" width="3.85546875" style="1" customWidth="1"/>
    <col min="2" max="2" width="11.42578125" style="1"/>
    <col min="3" max="3" width="38.7109375" style="1" bestFit="1" customWidth="1"/>
    <col min="4" max="4" width="20.85546875" style="1" customWidth="1"/>
    <col min="5" max="5" width="6.28515625" style="1" customWidth="1"/>
    <col min="6" max="6" width="48.28515625" style="1" bestFit="1" customWidth="1"/>
    <col min="7" max="7" width="21.710937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row>
    <row r="3" spans="2:22" x14ac:dyDescent="0.25">
      <c r="B3" s="14"/>
      <c r="C3" s="15"/>
      <c r="D3" s="15"/>
      <c r="E3" s="15"/>
      <c r="F3" s="15"/>
      <c r="G3" s="15"/>
      <c r="H3" s="16"/>
      <c r="V3" s="28">
        <f>+IF(D10&lt;=10,D10,IF(ROUNDDOWN(D10*10%,0)&gt;10,10,ROUNDDOWN(D10*10%,0)))</f>
        <v>0</v>
      </c>
    </row>
    <row r="4" spans="2:22" x14ac:dyDescent="0.25">
      <c r="B4" s="14"/>
      <c r="C4" s="15"/>
      <c r="D4" s="15"/>
      <c r="E4" s="15"/>
      <c r="F4" s="15"/>
      <c r="G4" s="15"/>
      <c r="H4" s="16"/>
    </row>
    <row r="5" spans="2:22" x14ac:dyDescent="0.25">
      <c r="B5" s="14"/>
      <c r="C5" s="15"/>
      <c r="D5" s="15"/>
      <c r="E5" s="15"/>
      <c r="F5" s="15"/>
      <c r="G5" s="15"/>
      <c r="H5" s="16"/>
    </row>
    <row r="6" spans="2:22" ht="36.75" customHeight="1" x14ac:dyDescent="0.35">
      <c r="B6" s="14"/>
      <c r="C6" s="34" t="s">
        <v>70</v>
      </c>
      <c r="D6" s="35"/>
      <c r="E6" s="26"/>
      <c r="F6"/>
      <c r="G6"/>
      <c r="H6" s="33"/>
    </row>
    <row r="7" spans="2:22" x14ac:dyDescent="0.25">
      <c r="B7" s="14"/>
      <c r="C7" s="15" t="s">
        <v>148</v>
      </c>
      <c r="D7" s="15"/>
      <c r="E7" s="15"/>
      <c r="F7"/>
      <c r="G7"/>
      <c r="H7" s="16"/>
      <c r="T7" s="1" t="s">
        <v>13</v>
      </c>
    </row>
    <row r="8" spans="2:22" x14ac:dyDescent="0.25">
      <c r="B8" s="14"/>
      <c r="C8" s="23" t="s">
        <v>70</v>
      </c>
      <c r="D8" s="23" t="s">
        <v>23</v>
      </c>
      <c r="E8" s="6"/>
      <c r="F8" s="23" t="s">
        <v>70</v>
      </c>
      <c r="G8" s="23" t="s">
        <v>23</v>
      </c>
      <c r="H8" s="16"/>
      <c r="T8" s="1" t="s">
        <v>14</v>
      </c>
    </row>
    <row r="9" spans="2:22" x14ac:dyDescent="0.25">
      <c r="B9" s="14"/>
      <c r="C9" s="20" t="s">
        <v>168</v>
      </c>
      <c r="D9" s="78">
        <v>0</v>
      </c>
      <c r="E9" s="6"/>
      <c r="F9" s="20" t="s">
        <v>169</v>
      </c>
      <c r="G9" s="78">
        <v>0</v>
      </c>
      <c r="H9" s="16"/>
    </row>
    <row r="10" spans="2:22" x14ac:dyDescent="0.25">
      <c r="B10" s="14"/>
      <c r="C10" s="20" t="s">
        <v>72</v>
      </c>
      <c r="D10" s="78">
        <v>0</v>
      </c>
      <c r="E10" s="6"/>
      <c r="F10" s="20" t="s">
        <v>90</v>
      </c>
      <c r="G10" s="78">
        <v>0</v>
      </c>
      <c r="H10" s="16"/>
    </row>
    <row r="11" spans="2:22" x14ac:dyDescent="0.25">
      <c r="B11" s="14"/>
      <c r="C11" s="15"/>
      <c r="D11" s="55"/>
      <c r="E11" s="6"/>
      <c r="F11" s="15"/>
      <c r="G11" s="56"/>
      <c r="H11" s="16"/>
    </row>
    <row r="12" spans="2:22" x14ac:dyDescent="0.25">
      <c r="B12" s="14"/>
      <c r="C12" s="57" t="s">
        <v>94</v>
      </c>
      <c r="D12" s="55"/>
      <c r="E12" s="6"/>
      <c r="F12" s="15"/>
      <c r="G12" s="56"/>
      <c r="H12" s="16"/>
      <c r="T12" s="1">
        <f>IF(D9="",0,1)</f>
        <v>1</v>
      </c>
    </row>
    <row r="13" spans="2:22" ht="15" customHeight="1" x14ac:dyDescent="0.25">
      <c r="B13" s="14"/>
      <c r="C13" s="108" t="s">
        <v>193</v>
      </c>
      <c r="D13" s="109"/>
      <c r="E13" s="109"/>
      <c r="F13" s="109"/>
      <c r="G13" s="110"/>
      <c r="H13" s="16"/>
    </row>
    <row r="14" spans="2:22" x14ac:dyDescent="0.25">
      <c r="B14" s="14"/>
      <c r="C14" s="111"/>
      <c r="D14" s="112"/>
      <c r="E14" s="112"/>
      <c r="F14" s="112"/>
      <c r="G14" s="113"/>
      <c r="H14" s="16"/>
    </row>
    <row r="15" spans="2:22" x14ac:dyDescent="0.25">
      <c r="B15" s="14"/>
      <c r="C15" s="111"/>
      <c r="D15" s="112"/>
      <c r="E15" s="112"/>
      <c r="F15" s="112"/>
      <c r="G15" s="113"/>
      <c r="H15" s="16"/>
    </row>
    <row r="16" spans="2:22" x14ac:dyDescent="0.25">
      <c r="B16" s="14"/>
      <c r="C16" s="114"/>
      <c r="D16" s="115"/>
      <c r="E16" s="115"/>
      <c r="F16" s="115"/>
      <c r="G16" s="116"/>
      <c r="H16" s="16"/>
      <c r="T16" s="1">
        <f>IF(G9="",0,1)</f>
        <v>1</v>
      </c>
    </row>
    <row r="17" spans="2:20" ht="15.75" thickBot="1" x14ac:dyDescent="0.3">
      <c r="B17" s="17"/>
      <c r="C17" s="18"/>
      <c r="D17" s="18"/>
      <c r="E17" s="18"/>
      <c r="F17" s="18"/>
      <c r="G17" s="18"/>
      <c r="H17" s="19"/>
      <c r="T17" s="1">
        <f>+T12+T16</f>
        <v>2</v>
      </c>
    </row>
  </sheetData>
  <sheetProtection algorithmName="SHA-512" hashValue="6ZcsWdIGr0G8GN+aSGf97CECkSNgVAzqC6t9ixF98PlLneYYyrSdMnHt56kYG6UzNYLxxm5cHQZZfeu+4m80kQ==" saltValue="3tqLDwW1B4WLnP5vNc8k0w==" spinCount="100000" sheet="1"/>
  <mergeCells count="1">
    <mergeCell ref="C13:G16"/>
  </mergeCells>
  <conditionalFormatting sqref="D9:D10">
    <cfRule type="containsBlanks" dxfId="9" priority="3">
      <formula>LEN(TRIM(D9))=0</formula>
    </cfRule>
  </conditionalFormatting>
  <conditionalFormatting sqref="G9:G10">
    <cfRule type="containsBlanks" dxfId="8" priority="2">
      <formula>LEN(TRIM(G9))=0</formula>
    </cfRule>
  </conditionalFormatting>
  <conditionalFormatting sqref="C13">
    <cfRule type="containsBlanks" dxfId="0" priority="1">
      <formula>LEN(TRIM(C13))=0</formula>
    </cfRule>
  </conditionalFormatting>
  <dataValidations count="1">
    <dataValidation type="whole" operator="greaterThanOrEqual" showInputMessage="1" showErrorMessage="1" errorTitle="Numero Invalido" promptTitle="Ingrese la cantidad Solicitada" prompt="Ingrese la cantidad Solicitada" sqref="D9:D10 G9:G10" xr:uid="{00000000-0002-0000-0500-000000000000}">
      <formula1>0</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1:V11"/>
  <sheetViews>
    <sheetView showGridLines="0" workbookViewId="0">
      <selection activeCell="F8" sqref="F8:G10"/>
    </sheetView>
  </sheetViews>
  <sheetFormatPr baseColWidth="10" defaultRowHeight="15" x14ac:dyDescent="0.25"/>
  <cols>
    <col min="1" max="1" width="3.85546875" style="1" customWidth="1"/>
    <col min="2" max="2" width="11.42578125" style="1"/>
    <col min="3" max="3" width="38.7109375" style="1" bestFit="1" customWidth="1"/>
    <col min="4" max="4" width="20.85546875" style="1" customWidth="1"/>
    <col min="5" max="5" width="6.28515625" style="1" customWidth="1"/>
    <col min="6" max="6" width="36.42578125" style="1" customWidth="1"/>
    <col min="7" max="7" width="24.14062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row>
    <row r="3" spans="2:22" x14ac:dyDescent="0.25">
      <c r="B3" s="14"/>
      <c r="C3" s="15"/>
      <c r="D3" s="15"/>
      <c r="E3" s="15"/>
      <c r="F3" s="15"/>
      <c r="G3" s="15"/>
      <c r="H3" s="16"/>
      <c r="V3" s="28">
        <f>+IF(D10&lt;=10,D10,IF(ROUNDDOWN(D10*10%,0)&gt;10,10,ROUNDDOWN(D10*10%,0)))</f>
        <v>0</v>
      </c>
    </row>
    <row r="4" spans="2:22" x14ac:dyDescent="0.25">
      <c r="B4" s="14"/>
      <c r="C4" s="15"/>
      <c r="D4" s="15"/>
      <c r="E4" s="15"/>
      <c r="F4" s="15"/>
      <c r="G4" s="15"/>
      <c r="H4" s="16"/>
    </row>
    <row r="5" spans="2:22" x14ac:dyDescent="0.25">
      <c r="B5" s="14"/>
      <c r="C5" s="15"/>
      <c r="D5" s="15"/>
      <c r="E5" s="15"/>
      <c r="F5" s="15"/>
      <c r="G5" s="15"/>
      <c r="H5" s="16"/>
    </row>
    <row r="6" spans="2:22" ht="21.75" customHeight="1" x14ac:dyDescent="0.35">
      <c r="B6" s="14"/>
      <c r="C6" s="122" t="s">
        <v>8</v>
      </c>
      <c r="D6" s="122"/>
      <c r="E6" s="26"/>
      <c r="F6"/>
      <c r="G6"/>
      <c r="H6" s="33"/>
      <c r="T6" s="1" t="s">
        <v>12</v>
      </c>
    </row>
    <row r="7" spans="2:22" x14ac:dyDescent="0.25">
      <c r="B7" s="14"/>
      <c r="C7" s="15" t="s">
        <v>148</v>
      </c>
      <c r="D7" s="15"/>
      <c r="E7" s="15"/>
      <c r="F7" s="58" t="s">
        <v>94</v>
      </c>
      <c r="G7"/>
      <c r="H7" s="16"/>
      <c r="T7" s="1" t="s">
        <v>13</v>
      </c>
    </row>
    <row r="8" spans="2:22" x14ac:dyDescent="0.25">
      <c r="B8" s="14"/>
      <c r="C8" s="23" t="s">
        <v>31</v>
      </c>
      <c r="D8" s="23" t="s">
        <v>23</v>
      </c>
      <c r="E8" s="6"/>
      <c r="F8" s="108" t="s">
        <v>190</v>
      </c>
      <c r="G8" s="110"/>
      <c r="H8" s="16"/>
      <c r="T8" s="1" t="s">
        <v>14</v>
      </c>
    </row>
    <row r="9" spans="2:22" x14ac:dyDescent="0.25">
      <c r="B9" s="14"/>
      <c r="C9" s="20" t="s">
        <v>74</v>
      </c>
      <c r="D9" s="78" t="s">
        <v>13</v>
      </c>
      <c r="E9" s="6"/>
      <c r="F9" s="111"/>
      <c r="G9" s="113"/>
      <c r="H9" s="16"/>
    </row>
    <row r="10" spans="2:22" x14ac:dyDescent="0.25">
      <c r="B10" s="14"/>
      <c r="C10" s="20" t="s">
        <v>173</v>
      </c>
      <c r="D10" s="78">
        <v>0</v>
      </c>
      <c r="E10" s="6"/>
      <c r="F10" s="114"/>
      <c r="G10" s="116"/>
      <c r="H10" s="16"/>
    </row>
    <row r="11" spans="2:22" ht="15.75" thickBot="1" x14ac:dyDescent="0.3">
      <c r="B11" s="17"/>
      <c r="C11" s="18"/>
      <c r="D11" s="18"/>
      <c r="E11" s="18"/>
      <c r="F11" s="18"/>
      <c r="G11" s="18"/>
      <c r="H11" s="19"/>
    </row>
  </sheetData>
  <sheetProtection algorithmName="SHA-512" hashValue="f23xZ8ZGez4/ugrRSeNHNSFC5P6zK3PlnV1v5jm/nMY208v20MkKx1TkUjozEjkoZyWA5UKJDdR01qKLB0dGmA==" saltValue="OkVslLPAPPXMYR5Z1l05zA==" spinCount="100000" sheet="1"/>
  <mergeCells count="2">
    <mergeCell ref="C6:D6"/>
    <mergeCell ref="F8:G10"/>
  </mergeCells>
  <conditionalFormatting sqref="D10">
    <cfRule type="containsBlanks" dxfId="7" priority="3">
      <formula>LEN(TRIM(D10))=0</formula>
    </cfRule>
  </conditionalFormatting>
  <conditionalFormatting sqref="D9">
    <cfRule type="containsBlanks" dxfId="6" priority="2">
      <formula>LEN(TRIM(D9))=0</formula>
    </cfRule>
  </conditionalFormatting>
  <conditionalFormatting sqref="F8">
    <cfRule type="containsBlanks" dxfId="5" priority="1">
      <formula>LEN(TRIM(F8))=0</formula>
    </cfRule>
  </conditionalFormatting>
  <dataValidations count="2">
    <dataValidation type="list" showInputMessage="1" showErrorMessage="1" promptTitle="Gestiona o No Pagos" prompt="Indique si su entidad Gestiona o No pagos o reliza Informes a traves de SIIF" sqref="D9" xr:uid="{00000000-0002-0000-0600-000000000000}">
      <formula1>$T$6:$T$7</formula1>
    </dataValidation>
    <dataValidation type="whole" operator="greaterThanOrEqual" showInputMessage="1" showErrorMessage="1" errorTitle="Numero Invalido" promptTitle="Ingrese la cantidad Solicitada" prompt="Ingrese la cantidad Solicitada" sqref="D10" xr:uid="{00000000-0002-0000-0600-000001000000}">
      <formula1>0</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2:M26"/>
  <sheetViews>
    <sheetView showGridLines="0" tabSelected="1" workbookViewId="0">
      <selection activeCell="E31" sqref="E31"/>
    </sheetView>
  </sheetViews>
  <sheetFormatPr baseColWidth="10" defaultRowHeight="15" x14ac:dyDescent="0.25"/>
  <cols>
    <col min="2" max="2" width="42.7109375" customWidth="1"/>
    <col min="3" max="3" width="14.5703125" bestFit="1" customWidth="1"/>
    <col min="5" max="5" width="33" bestFit="1" customWidth="1"/>
    <col min="6" max="6" width="14.5703125" bestFit="1" customWidth="1"/>
  </cols>
  <sheetData>
    <row r="2" spans="2:13" ht="18.75" x14ac:dyDescent="0.3">
      <c r="B2" s="126" t="s">
        <v>10</v>
      </c>
      <c r="C2" s="126"/>
      <c r="D2" s="126"/>
      <c r="E2" s="126"/>
      <c r="F2" s="126"/>
      <c r="G2" s="126"/>
      <c r="H2" s="46"/>
      <c r="I2" s="46"/>
      <c r="J2" s="46"/>
      <c r="K2" s="46"/>
      <c r="L2" s="46"/>
      <c r="M2" s="47"/>
    </row>
    <row r="3" spans="2:13" ht="18.75" x14ac:dyDescent="0.3">
      <c r="B3" s="126" t="s">
        <v>11</v>
      </c>
      <c r="C3" s="126"/>
      <c r="D3" s="126"/>
      <c r="E3" s="126"/>
      <c r="F3" s="126"/>
      <c r="G3" s="126"/>
      <c r="H3" s="46"/>
      <c r="I3" s="46"/>
      <c r="J3" s="46"/>
      <c r="K3" s="46"/>
      <c r="L3" s="46"/>
      <c r="M3" s="47"/>
    </row>
    <row r="4" spans="2:13" ht="23.25" x14ac:dyDescent="0.35">
      <c r="B4" s="41"/>
      <c r="C4" s="90"/>
      <c r="D4" s="90" t="s">
        <v>172</v>
      </c>
      <c r="E4" s="41"/>
      <c r="F4" s="41"/>
      <c r="G4" s="41"/>
      <c r="H4" s="41"/>
      <c r="I4" s="41"/>
      <c r="J4" s="41"/>
      <c r="K4" s="41"/>
      <c r="L4" s="41"/>
      <c r="M4" s="41"/>
    </row>
    <row r="5" spans="2:13" ht="15.75" thickBot="1" x14ac:dyDescent="0.3">
      <c r="B5" t="s">
        <v>170</v>
      </c>
      <c r="C5" s="125" t="s">
        <v>188</v>
      </c>
      <c r="D5" s="125"/>
      <c r="E5" s="125"/>
      <c r="F5" s="125"/>
      <c r="G5" s="125"/>
      <c r="H5" s="6"/>
      <c r="I5" s="6"/>
      <c r="J5" s="6"/>
    </row>
    <row r="6" spans="2:13" ht="15.75" thickBot="1" x14ac:dyDescent="0.3">
      <c r="B6" t="s">
        <v>171</v>
      </c>
      <c r="C6" s="125" t="s">
        <v>189</v>
      </c>
      <c r="D6" s="125"/>
      <c r="E6" s="125"/>
      <c r="F6" s="125"/>
      <c r="G6" s="125"/>
      <c r="H6" s="45"/>
      <c r="I6" s="45"/>
      <c r="J6" s="45"/>
    </row>
    <row r="7" spans="2:13" x14ac:dyDescent="0.25">
      <c r="H7" s="6"/>
      <c r="I7" s="6"/>
      <c r="J7" s="6"/>
    </row>
    <row r="8" spans="2:13" x14ac:dyDescent="0.25">
      <c r="B8" t="s">
        <v>38</v>
      </c>
      <c r="C8" s="44" t="str">
        <f>+IF(SUM(USUARIOS!I12:J17)=0,"Falta diligenciar","")</f>
        <v/>
      </c>
      <c r="E8" t="s">
        <v>77</v>
      </c>
      <c r="F8" s="44" t="str">
        <f>+IF(PREJUDICIALES!$D$10="","Falta  actualizar","")</f>
        <v/>
      </c>
    </row>
    <row r="9" spans="2:13" x14ac:dyDescent="0.25">
      <c r="B9" s="43" t="s">
        <v>41</v>
      </c>
      <c r="C9" s="88">
        <f>+SUM(USUARIOS!I12:I17)/(6-SUM(USUARIOS!H12:H17))</f>
        <v>1</v>
      </c>
      <c r="E9" s="43" t="s">
        <v>46</v>
      </c>
      <c r="F9" s="87">
        <f>+PREJUDICIALES!$D$11</f>
        <v>13</v>
      </c>
    </row>
    <row r="10" spans="2:13" x14ac:dyDescent="0.25">
      <c r="B10" s="43" t="s">
        <v>39</v>
      </c>
      <c r="C10" s="87">
        <f>+ABOGADOS!$D$12+SUM(USUARIOS!I12:I17)</f>
        <v>9</v>
      </c>
      <c r="E10" s="43" t="s">
        <v>44</v>
      </c>
      <c r="F10" s="88">
        <f>IFERROR(PREJUDICIALES!$D$11/PREJUDICIALES!$D$10,"")</f>
        <v>13</v>
      </c>
    </row>
    <row r="11" spans="2:13" x14ac:dyDescent="0.25">
      <c r="B11" s="43" t="s">
        <v>9</v>
      </c>
      <c r="C11" s="87" t="s">
        <v>108</v>
      </c>
      <c r="E11" s="43" t="s">
        <v>47</v>
      </c>
      <c r="F11" s="88">
        <f>IFERROR(PREJUDICIALES!$G$13/PREJUDICIALES!$V$3,"")</f>
        <v>1</v>
      </c>
    </row>
    <row r="12" spans="2:13" x14ac:dyDescent="0.25">
      <c r="B12" s="43" t="s">
        <v>40</v>
      </c>
      <c r="C12" s="88">
        <f>IFERROR((ABOGADOS!$G$17+ABOGADOS!$G$18+ABOGADOS!$G$19*0.5)/ABOGADOS!D12,"")</f>
        <v>0.66666666666666663</v>
      </c>
    </row>
    <row r="13" spans="2:13" x14ac:dyDescent="0.25">
      <c r="E13" t="s">
        <v>70</v>
      </c>
      <c r="F13" s="44" t="str">
        <f>+IF(ARBITRAMENTOS!T17=0,"Falta  actualizar","")</f>
        <v/>
      </c>
    </row>
    <row r="14" spans="2:13" x14ac:dyDescent="0.25">
      <c r="B14" t="s">
        <v>76</v>
      </c>
      <c r="C14" s="44" t="str">
        <f>+IF(JUDICIALES!$D$11="","Falta  actualizar","")</f>
        <v/>
      </c>
      <c r="E14" s="43" t="s">
        <v>45</v>
      </c>
      <c r="F14" s="87">
        <f>+ARBITRAMENTOS!D10</f>
        <v>0</v>
      </c>
    </row>
    <row r="15" spans="2:13" x14ac:dyDescent="0.25">
      <c r="B15" s="43" t="s">
        <v>42</v>
      </c>
      <c r="C15" s="87">
        <f>+JUDICIALES!$D$12</f>
        <v>165</v>
      </c>
      <c r="E15" s="43" t="s">
        <v>44</v>
      </c>
      <c r="F15" s="88" t="str">
        <f>IFERROR(ARBITRAMENTOS!D10/ARBITRAMENTOS!D9,"")</f>
        <v/>
      </c>
    </row>
    <row r="16" spans="2:13" x14ac:dyDescent="0.25">
      <c r="B16" s="43" t="s">
        <v>44</v>
      </c>
      <c r="C16" s="88">
        <f>IFERROR(JUDICIALES!$D$12/JUDICIALES!$D$11,"")</f>
        <v>0.94285714285714284</v>
      </c>
    </row>
    <row r="17" spans="2:6" x14ac:dyDescent="0.25">
      <c r="B17" s="43" t="s">
        <v>50</v>
      </c>
      <c r="C17" s="88">
        <f>IFERROR(JUDICIALES!$G$11/JUDICIALES!$G$10,"")</f>
        <v>1</v>
      </c>
      <c r="E17" t="s">
        <v>73</v>
      </c>
      <c r="F17" s="44" t="str">
        <f>+IF(PAGOS!D9="","Falta  actualizar","")</f>
        <v/>
      </c>
    </row>
    <row r="18" spans="2:6" x14ac:dyDescent="0.25">
      <c r="B18" s="43" t="s">
        <v>43</v>
      </c>
      <c r="C18" s="87">
        <f>IFERROR(C15/ABOGADOS!$D$12,"")</f>
        <v>55</v>
      </c>
      <c r="E18" s="43" t="s">
        <v>48</v>
      </c>
      <c r="F18" s="87">
        <f>+PAGOS!D10</f>
        <v>0</v>
      </c>
    </row>
    <row r="19" spans="2:6" x14ac:dyDescent="0.25">
      <c r="B19" s="43" t="s">
        <v>75</v>
      </c>
      <c r="C19" s="88">
        <f>IFERROR(1-(JUDICIALES!$H$22+JUDICIALES!$H$23+JUDICIALES!$H$24)/(JUDICIALES!$G$22+JUDICIALES!$G$23+JUDICIALES!$G$24),"")</f>
        <v>0</v>
      </c>
      <c r="E19" s="43" t="s">
        <v>49</v>
      </c>
      <c r="F19" s="87" t="str">
        <f>+IF(PAGOS!D9="No","No aplica","si")</f>
        <v>No aplica</v>
      </c>
    </row>
    <row r="21" spans="2:6" ht="15.75" thickBot="1" x14ac:dyDescent="0.3"/>
    <row r="22" spans="2:6" x14ac:dyDescent="0.25">
      <c r="B22" s="2" t="s">
        <v>94</v>
      </c>
      <c r="C22" s="3"/>
      <c r="D22" s="3"/>
      <c r="E22" s="3"/>
      <c r="F22" s="4"/>
    </row>
    <row r="23" spans="2:6" x14ac:dyDescent="0.25">
      <c r="B23" s="108" t="s">
        <v>196</v>
      </c>
      <c r="C23" s="109"/>
      <c r="D23" s="109"/>
      <c r="E23" s="109"/>
      <c r="F23" s="110"/>
    </row>
    <row r="24" spans="2:6" x14ac:dyDescent="0.25">
      <c r="B24" s="111"/>
      <c r="C24" s="112"/>
      <c r="D24" s="112"/>
      <c r="E24" s="112"/>
      <c r="F24" s="113"/>
    </row>
    <row r="25" spans="2:6" x14ac:dyDescent="0.25">
      <c r="B25" s="111"/>
      <c r="C25" s="112"/>
      <c r="D25" s="112"/>
      <c r="E25" s="112"/>
      <c r="F25" s="113"/>
    </row>
    <row r="26" spans="2:6" x14ac:dyDescent="0.25">
      <c r="B26" s="114"/>
      <c r="C26" s="115"/>
      <c r="D26" s="115"/>
      <c r="E26" s="115"/>
      <c r="F26" s="116"/>
    </row>
  </sheetData>
  <sheetProtection algorithmName="SHA-512" hashValue="xLp+iVXktoCHjSyisMzeUqB3TFHZ3ECZVWfGHLrfjAZjidIlu5D3CLoewvx3qakIhGiDVMcS9XCeM/RFc9I93g==" saltValue="sgud4LPzkaR+TgKL0MQL3A==" spinCount="100000" sheet="1" objects="1" scenarios="1"/>
  <mergeCells count="5">
    <mergeCell ref="C5:G5"/>
    <mergeCell ref="C6:G6"/>
    <mergeCell ref="B2:G2"/>
    <mergeCell ref="B3:G3"/>
    <mergeCell ref="B23:F26"/>
  </mergeCells>
  <conditionalFormatting sqref="B23">
    <cfRule type="containsBlanks" dxfId="4" priority="3">
      <formula>LEN(TRIM(B23))=0</formula>
    </cfRule>
  </conditionalFormatting>
  <conditionalFormatting sqref="C5">
    <cfRule type="containsBlanks" dxfId="3" priority="2">
      <formula>LEN(TRIM(C5))=0</formula>
    </cfRule>
  </conditionalFormatting>
  <conditionalFormatting sqref="C6">
    <cfRule type="containsBlanks" dxfId="2" priority="1">
      <formula>LEN(TRIM(C6))=0</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2:BO18"/>
  <sheetViews>
    <sheetView topLeftCell="AW1" zoomScaleNormal="100" workbookViewId="0">
      <selection activeCell="BI3" sqref="BI3"/>
    </sheetView>
  </sheetViews>
  <sheetFormatPr baseColWidth="10" defaultColWidth="10.7109375" defaultRowHeight="15" x14ac:dyDescent="0.25"/>
  <cols>
    <col min="1" max="1" width="34.5703125" style="69" customWidth="1"/>
    <col min="2" max="2" width="29.5703125" style="69" customWidth="1"/>
    <col min="3" max="16384" width="10.7109375" style="69"/>
  </cols>
  <sheetData>
    <row r="2" spans="1:67" x14ac:dyDescent="0.25">
      <c r="A2" s="72" t="s">
        <v>37</v>
      </c>
      <c r="B2" s="72" t="s">
        <v>112</v>
      </c>
      <c r="C2" s="72" t="s">
        <v>21</v>
      </c>
      <c r="D2" s="72" t="s">
        <v>22</v>
      </c>
      <c r="E2" s="72" t="s">
        <v>26</v>
      </c>
      <c r="F2" s="72" t="s">
        <v>20</v>
      </c>
      <c r="G2" s="72" t="s">
        <v>101</v>
      </c>
      <c r="H2" s="73" t="s">
        <v>102</v>
      </c>
      <c r="I2" s="74" t="s">
        <v>114</v>
      </c>
      <c r="J2" s="74" t="s">
        <v>115</v>
      </c>
      <c r="K2" s="74" t="s">
        <v>116</v>
      </c>
      <c r="L2" s="74" t="s">
        <v>117</v>
      </c>
      <c r="M2" s="74" t="s">
        <v>118</v>
      </c>
      <c r="N2" s="74" t="s">
        <v>119</v>
      </c>
      <c r="O2" s="74" t="s">
        <v>120</v>
      </c>
      <c r="P2" s="72" t="s">
        <v>28</v>
      </c>
      <c r="Q2" s="72" t="s">
        <v>29</v>
      </c>
      <c r="R2" s="72" t="s">
        <v>30</v>
      </c>
      <c r="S2" s="72" t="s">
        <v>121</v>
      </c>
      <c r="T2" s="72" t="s">
        <v>122</v>
      </c>
      <c r="U2" s="72" t="s">
        <v>36</v>
      </c>
      <c r="V2" s="72" t="s">
        <v>123</v>
      </c>
      <c r="W2" s="72" t="s">
        <v>85</v>
      </c>
      <c r="X2" s="72" t="s">
        <v>86</v>
      </c>
      <c r="Y2" s="72" t="s">
        <v>87</v>
      </c>
      <c r="Z2" s="72" t="s">
        <v>88</v>
      </c>
      <c r="AA2" s="72" t="s">
        <v>89</v>
      </c>
      <c r="AB2" s="74" t="s">
        <v>124</v>
      </c>
      <c r="AC2" s="74" t="s">
        <v>125</v>
      </c>
      <c r="AD2" s="74" t="s">
        <v>126</v>
      </c>
      <c r="AE2" s="72" t="s">
        <v>34</v>
      </c>
      <c r="AF2" s="72" t="s">
        <v>61</v>
      </c>
      <c r="AG2" s="72" t="s">
        <v>62</v>
      </c>
      <c r="AH2" s="72" t="s">
        <v>35</v>
      </c>
      <c r="AI2" s="72" t="s">
        <v>127</v>
      </c>
      <c r="AJ2" s="72" t="s">
        <v>128</v>
      </c>
      <c r="AK2" s="72" t="s">
        <v>129</v>
      </c>
      <c r="AL2" s="72" t="s">
        <v>130</v>
      </c>
      <c r="AM2" s="72" t="s">
        <v>131</v>
      </c>
      <c r="AN2" s="72" t="s">
        <v>132</v>
      </c>
      <c r="AO2" s="72" t="s">
        <v>133</v>
      </c>
      <c r="AP2" s="72" t="s">
        <v>134</v>
      </c>
      <c r="AQ2" s="75" t="s">
        <v>54</v>
      </c>
      <c r="AR2" s="75" t="s">
        <v>55</v>
      </c>
      <c r="AS2" s="75" t="s">
        <v>51</v>
      </c>
      <c r="AT2" s="75" t="s">
        <v>52</v>
      </c>
      <c r="AU2" s="75" t="s">
        <v>53</v>
      </c>
      <c r="AV2" s="75" t="s">
        <v>56</v>
      </c>
      <c r="AW2" s="75" t="s">
        <v>69</v>
      </c>
      <c r="AX2" s="75" t="s">
        <v>58</v>
      </c>
      <c r="AY2" s="75" t="s">
        <v>59</v>
      </c>
      <c r="AZ2" s="75" t="s">
        <v>71</v>
      </c>
      <c r="BA2" s="75" t="s">
        <v>72</v>
      </c>
      <c r="BB2" s="76" t="s">
        <v>135</v>
      </c>
      <c r="BC2" s="76" t="s">
        <v>90</v>
      </c>
      <c r="BD2" s="77" t="s">
        <v>136</v>
      </c>
      <c r="BE2" s="77" t="s">
        <v>137</v>
      </c>
      <c r="BF2" s="77" t="s">
        <v>138</v>
      </c>
      <c r="BG2" s="77" t="s">
        <v>139</v>
      </c>
      <c r="BH2" s="77" t="s">
        <v>140</v>
      </c>
      <c r="BI2" s="77" t="s">
        <v>141</v>
      </c>
      <c r="BJ2" s="77" t="s">
        <v>142</v>
      </c>
      <c r="BK2" s="77" t="s">
        <v>143</v>
      </c>
      <c r="BL2" s="77" t="s">
        <v>144</v>
      </c>
      <c r="BM2" s="77" t="s">
        <v>145</v>
      </c>
      <c r="BN2" s="77" t="s">
        <v>146</v>
      </c>
      <c r="BO2" s="77" t="s">
        <v>147</v>
      </c>
    </row>
    <row r="3" spans="1:67" x14ac:dyDescent="0.25">
      <c r="A3" s="69" t="str">
        <f>'Resumen General'!C5</f>
        <v>AGENCIA DE DESARROLLO RURAL</v>
      </c>
      <c r="B3" s="69" t="str">
        <f>'Resumen General'!C6</f>
        <v>Wilson Giovanny Patiño Suarez</v>
      </c>
      <c r="C3" s="69">
        <f>+ABOGADOS!D11</f>
        <v>2</v>
      </c>
      <c r="D3" s="69">
        <f>+ABOGADOS!D12</f>
        <v>3</v>
      </c>
      <c r="E3" s="69">
        <f>+ABOGADOS!D13</f>
        <v>3</v>
      </c>
      <c r="F3" s="69">
        <f>+ABOGADOS!D14</f>
        <v>0</v>
      </c>
      <c r="G3" s="69">
        <f>+ABOGADOS!D17</f>
        <v>1</v>
      </c>
      <c r="H3" s="69">
        <f>+ABOGADOS!D18</f>
        <v>0</v>
      </c>
      <c r="I3" s="69">
        <f>+ABOGADOS!G10</f>
        <v>3</v>
      </c>
      <c r="J3" s="69">
        <f>+ABOGADOS!G11</f>
        <v>3</v>
      </c>
      <c r="K3" s="69">
        <f>+ABOGADOS!G12</f>
        <v>3</v>
      </c>
      <c r="L3" s="69">
        <f>+ABOGADOS!G17</f>
        <v>2</v>
      </c>
      <c r="M3" s="69">
        <f>+ABOGADOS!G18</f>
        <v>0</v>
      </c>
      <c r="N3" s="69">
        <f>+ABOGADOS!G19</f>
        <v>0</v>
      </c>
      <c r="O3" s="69">
        <f>+ABOGADOS!G21</f>
        <v>0</v>
      </c>
      <c r="P3" s="69">
        <f>+JUDICIALES!D11</f>
        <v>175</v>
      </c>
      <c r="Q3" s="69">
        <f>+JUDICIALES!D12</f>
        <v>165</v>
      </c>
      <c r="R3" s="69">
        <f>+JUDICIALES!D13</f>
        <v>1</v>
      </c>
      <c r="S3" s="69">
        <f>+JUDICIALES!D16</f>
        <v>1</v>
      </c>
      <c r="T3" s="69">
        <f>+JUDICIALES!D17</f>
        <v>3</v>
      </c>
      <c r="U3" s="69">
        <f>+JUDICIALES!D21</f>
        <v>75</v>
      </c>
      <c r="V3" s="69">
        <f>+JUDICIALES!D22</f>
        <v>35</v>
      </c>
      <c r="W3" s="69">
        <f>JUDICIALES!D28</f>
        <v>0</v>
      </c>
      <c r="X3" s="69">
        <f>JUDICIALES!D29</f>
        <v>0</v>
      </c>
      <c r="Y3" s="69">
        <f>JUDICIALES!D30</f>
        <v>0</v>
      </c>
      <c r="Z3" s="69">
        <f>JUDICIALES!D31</f>
        <v>0</v>
      </c>
      <c r="AA3" s="69">
        <f>JUDICIALES!D32</f>
        <v>0</v>
      </c>
      <c r="AB3" s="69">
        <f>+JUDICIALES!G9</f>
        <v>3</v>
      </c>
      <c r="AC3" s="69">
        <f>+JUDICIALES!G10</f>
        <v>3</v>
      </c>
      <c r="AD3" s="69">
        <f>+JUDICIALES!G11</f>
        <v>3</v>
      </c>
      <c r="AE3" s="69">
        <f>+JUDICIALES!G15</f>
        <v>161</v>
      </c>
      <c r="AF3" s="69">
        <f>+JUDICIALES!G16</f>
        <v>156</v>
      </c>
      <c r="AG3" s="69">
        <f>+JUDICIALES!G17</f>
        <v>0</v>
      </c>
      <c r="AH3" s="69">
        <f>+JUDICIALES!G18</f>
        <v>4</v>
      </c>
      <c r="AI3" s="69">
        <f>+JUDICIALES!G21</f>
        <v>15</v>
      </c>
      <c r="AJ3" s="69">
        <f>+JUDICIALES!G22</f>
        <v>125</v>
      </c>
      <c r="AK3" s="69">
        <f>+JUDICIALES!G23</f>
        <v>10</v>
      </c>
      <c r="AL3" s="69">
        <f>+JUDICIALES!G24</f>
        <v>6</v>
      </c>
      <c r="AM3" s="69">
        <f>+JUDICIALES!H21</f>
        <v>8</v>
      </c>
      <c r="AN3" s="69">
        <f>+JUDICIALES!H22</f>
        <v>125</v>
      </c>
      <c r="AO3" s="69">
        <f>+JUDICIALES!H23</f>
        <v>10</v>
      </c>
      <c r="AP3" s="69">
        <f>+JUDICIALES!H24</f>
        <v>6</v>
      </c>
      <c r="AQ3" s="69">
        <f>+PREJUDICIALES!D10</f>
        <v>1</v>
      </c>
      <c r="AR3" s="69">
        <f>+PREJUDICIALES!D11</f>
        <v>13</v>
      </c>
      <c r="AS3" s="69">
        <f>+PREJUDICIALES!D12</f>
        <v>7</v>
      </c>
      <c r="AT3" s="69">
        <f>+PREJUDICIALES!D13</f>
        <v>1</v>
      </c>
      <c r="AU3" s="69">
        <f>+PREJUDICIALES!D14</f>
        <v>5</v>
      </c>
      <c r="AV3" s="69">
        <f>+PREJUDICIALES!D17</f>
        <v>5</v>
      </c>
      <c r="AW3" s="69">
        <f>+PREJUDICIALES!D18</f>
        <v>3</v>
      </c>
      <c r="AX3" s="69">
        <f>+PREJUDICIALES!G12</f>
        <v>0</v>
      </c>
      <c r="AY3" s="69">
        <f>+PREJUDICIALES!G13</f>
        <v>6</v>
      </c>
      <c r="AZ3" s="69">
        <f>+ARBITRAMENTOS!D9</f>
        <v>0</v>
      </c>
      <c r="BA3" s="69">
        <f>+ARBITRAMENTOS!D10</f>
        <v>0</v>
      </c>
      <c r="BB3" s="69">
        <f>ARBITRAMENTOS!G9</f>
        <v>0</v>
      </c>
      <c r="BC3" s="69">
        <f>ARBITRAMENTOS!G10</f>
        <v>0</v>
      </c>
      <c r="BD3" s="69" t="str">
        <f>+PAGOS!D9</f>
        <v>No</v>
      </c>
      <c r="BE3" s="69">
        <f>+PAGOS!D10</f>
        <v>0</v>
      </c>
      <c r="BF3" s="70">
        <f>USUARIOS!D9</f>
        <v>44599</v>
      </c>
      <c r="BG3" s="70">
        <f>ABOGADOS!D7</f>
        <v>44599</v>
      </c>
      <c r="BH3" s="70">
        <f>JUDICIALES!D8</f>
        <v>44606</v>
      </c>
      <c r="BI3" s="69" t="str">
        <f>+USUARIOS!C19</f>
        <v>1. INGRESO Y RETIRO DE USUARIOS: De acuerdo con el reporte generado desde el sistema eKOGUI del usuario con rol “Jefe Financiero” y "Enlace de pagos" que se registraban como activos en el sistema a la fecha de la verificación (4 de febrero de 2022), no se encontraban vinculados a la Entidad desde el 31 de diciembre de 2020 y 5 de abril de 2021, respectivamente. Con relación a lo anterior, la administradora del sistema mediante correo electrónico del 4 de febrero de 2022 remitió la trazabilidad de correos electrónicos dirigidos al Secretario General donde solicita la designación de los roles de Jefe Financiero y Enlace de Pagos, en donde se indicó a través de correo electrónico del día 18 de agosto de 2021 que se designo nuevo Jefe Financiero y nuevo enlace de pagos, no obstante, estos no fueron ingresados al sistema,ni posteriormente retirados ya que se desvincularon de la Entidad el 24 de enero de 2022.
Se realizó la actualización del rol “Jefe de Control Interno” en el primer semestre de 2022, cuando se dio el cambio en octubre de 2021.
2.CAPACITACIÓN: . Teniendo en cuenta que los usuarios activos con rol “Jefe Financiero” y “Enlace de pagos”, no se encuentran vinculados en la Entidad, una vez se designe  el usuario de “Jefe de Financiero” y se actualice el rol “Jefe Financiero”, se deben capacitar como se requiere para el ejercicio de su gestión. 
En cuanto al usuario con rol “Jefe de Control Interno”, se participó en la capacitación virtual por parte de contratista de la Oficina de Control Interno convocada por la ANDJE.</v>
      </c>
      <c r="BJ3" s="69" t="str">
        <f>+ABOGADOS!C22</f>
        <v xml:space="preserve">1. INGRESO Y RETIRO DE USUARIOS: 
Durante el segundo semestre de 2021, un usuario con rol de abogado presentó ausencia absoluta, esto como consecuencia de la terminación del contrato de prestación de servicios cuyo plazo de ejecución fue hasta el 31 de julio de 2021 , sin embargo continúa registrando "activo" dentro de la plataforma. </v>
      </c>
      <c r="BK3" s="69" t="str">
        <f>+JUDICIALES!F28</f>
        <v>PROCESOS ACTIVOS: En el sistema se encontraban registrados 165 procesos activos. La Oficina Jurídica registra 10 procesos más en su base de datos que no se encuentran registrados en el sistema eKOGUI, al respecto de 7 procesos informó que se encuentran en “Proceso en verificación de la vinculación de la ADR”, 2 se encontraban en término para contestar la demanda y 1 se encuentra pendiente de la admisión de la demanda para registrar en el sistema.
PROCESOS TERMINADOS: Se evidenció por parte de la Oficina de Control Interno que en el primer semestre 2021 se identificaron 72 procesos terminados, es decir que para el segundo periodo 2021 se realizaron 3 terminaciones, al respecto la Oficina Jurídica informó que “Revisada la base de datos de procesos de la entidad, se pudo confirmar que durante el segundo semestre de 2021 solo fuimos notificados de una sentencia de segunda instancia en el proceso con radicado  No. 15693333100220120003900, favorable para la entidad, la cual se encuentra ejecutoriada.
Durante el periodo informado la entidad no fue notificada de terminación de proceso en los cuales estuviera vinculado. Es probable que la diferencia de los tres procesos con estado terminado, entre el informe anterior y el actual, obedezca a que otras entidades hayan dado por terminados estos tres procesos.
PROCESOS SIN ABOGADO ASIGNADO: Se identificó 1 proceso sin asignación de abogado, al respecto la Oficina Jurídica informó que “El proceso con radicado 5045312100220201380000, se encuentra en proceso de eliminación por parte de la ANDJE, comoquiera que de acuerdo con sus instrucciones mientras la entidad no sea parte en estos procesos, no debemos registrarlos en nuestra cuenta, razón por la cual no cuenta con abogado asignado.”
PROCESOS ACTIVOS CON ESTADO TERMINADO: Se identificaron 35 procesos activos con estado terminado, al respecto la Oficina Jurídica suministró el estado actual de cada uno de los procesos y manifestó: "(...) que, de los 35 procesos, solo en 8 de ellos se podrían dar por terminado, sin embargo continuan en trámite de la constancia de ejecutoria, y los demás se encuentran a la espera de la expedición por parte de los despachos judiciales de los documentos idóneos que permitan terminar los procesos en el sistema.
CALIFICACIÓN DE RIESGO: Se evidenciaron 4 procesos sin calificación del riesgo. Al respecto, la Oficina Jurídica informó de los procesos con ID 2254181, 2106551 y 2178247 se encontraban para la fecha de corte del presente informe en término para contestar la demanda, razón por la cual la calificación del riesgo se realizó con posterioridad a esta actuación de la entidad
PROVISIÓN CONTABLE: La Entidad registra 8 casos con probabilidad de pérdida "ALTA" y provisión contable con valor cero, porque el valor económico registrado para tales procesos también es cero.</v>
      </c>
      <c r="BL3" s="69" t="str">
        <f>+PREJUDICIALES!F17</f>
        <v>PREJUDICIALES ACTIVOS: Se tomó la muestra seleccionada de los 6 prejudiciales activos con registro anterior al 1 de julio de 2021 , para validar las terminadas y las que permanecen activas. Se solicitó la información a la Oficina Jurídica y reportó lo siguiente:
ID 1405553: Duplicado con el 1379201, con el cual se gestionó en el sistema.
ID 1414697: Duplicado con el 1408285, con el cual se gestionó en el sistema.
ID 1423348: Duplicado con el 1422230, la cual se encuentra terminada.
ID 1449840 y 1421030: “La entidad no fue citada por la Procuraduría a la audiencia de conciliación, razón por la cual no hay documentos que acrediten que se hubiese admitido la misma por el ente de control y por ende no se ha podido terminar el proceso en eKOGUI. Esta situación fue excepcionada en la contestación de la demanda.”
ID 1461310: "Revisado el sistema eKOGUI, se pudo evidenciar que la conciliación extrajudicial identificada con el No. 1461310, se encuentra concluida como quiera que fue llevada al comité en el mes de abril"
PREJUDICIALES TERMINADOS: Se observó que  procesos 5 prejudiciales terminaron en el segundo semestre 2021, de los cuales sólo 3  registraban su última actuación durante el segundo semestre 2021.</v>
      </c>
      <c r="BM3" s="69" t="str">
        <f>+ARBITRAMENTOS!C13</f>
        <v>La Oficina Jurídica en el memorando 20222100008393 del 1 de febrero de 2022, manifestó: “Durante el periodo objeto de verificación, es decir del 1 de julio a 31 de diciembre de 2021, la Entidad no tenía a cargo procesos arbitrales.”, información que coincide con lo registrado en el sistema eKOGUI.</v>
      </c>
      <c r="BN3" s="69" t="str">
        <f>+PAGOS!F8</f>
        <v>La Secretaría General a través de memorando 20226100008353 del 1 de febrero de 2022, manifestó que “La Agencia de Desarrollo Rural-ADR, durante la vigencia 2021, no realizo ningún desembolso por concepto de sentencias, conciliaciones y/o laudos arbitrales, información que se puede verificar a través de la ejecución del rubro presupuestal destinado para la atención de los conceptos de gasto detallados anteriormente.”
De otra parte, la Oficina Jurídica a través del memorando 20222100008393 del 1 de febrero de 2022, indicó que “Durante el período objeto de reporte, la entidad no realizó ningún pago por concepto de sentencias condenatorias, conciliaciones y/o laudos arbitrales.”
Considerando que durante el segundo semestre de 2021 no se hicieron pagos, consultado el sistema eKOGUI no aparece información registrada de pagos.</v>
      </c>
      <c r="BO3" s="69" t="str">
        <f>'Resumen General'!B23</f>
        <v>1. Activación e inactivación de usuarios: El Administrador del Sistema en la Entidad le corresponde realizar oportunamente las activaciones e inactivaciones de los usuarios según corresponda, de acuerdo con las novedades que presenten los usuarios en la Entidad, en ese sentido, se recomienda continuar con las gestiones necesarias ante la Secretaría General para que se designen los nuevos usuarios con rol “Jefe Financiero” y “Enlace de Pagos”, toda vez que los activos se encuentran desvinculados de la Entidad.
2. Capacitaciones usuarios: Programar asistencia a capacitaciones para los usuarios que se activen para el rol Jefe Financiero y Enlace de Pagos, con el fin de fortalecer las competencias y actualizarse en el funcionamiento de la versión 2.0 del sistema eKOGUI.
3. Procesos Judiciales activos: Se identificó diferencia en el total de procesos de acuerdo con lo reportado por la Oficina Jurídica y lo registrado en el sistema, por lo que se debe gestionar la revisión de la base de datos y de considerarse realizar su actualización y depuración, para los casos de los procesos repetidos en el sistema realizar los trámites ante la ANDJE para su eliminación y adelantar el registro de los procesos que no estaban en el sistema eKOGUI, de tal manera que se tenga claridad del total de los procesos activos en la Entidad. 
4. Actualización procesos judiciales: Teniendo en cuenta los procesos registrados en el sistema Ekogui que aparecen como activos con estado terminado, se recomienda validar la veracidad de los que se encuentren con ese estado de terminado registrado por otras entidades, con el fin de adelantar las acciones necesarias para depurar la realidad procesal de los terminados de la Entidad.
5. Calificación del riesgo: Debido a que se observó procesos judiciales que no tenían calificación del riesgo y que contaban con la contestación de la demanda, y que no se registró la provisión contable de dos procesos con valor diferente a cero, se recomienda a los usuarios con rol abogado adelantar las acciones dirigidas a dar cumplimiento con los lineamientos dados por la ANDJE.
6. Procesos prejudiciales activos: Los procesos prejudiciales activos que corresponden a vigencias anteriores a 2021, se recomienda adelantar acciones de depuración, y de las que requieran con el apoyo de la ANDJE. Lo anterior, en razón a que la ANDJE considera que los procesos prejudiciales permanezcan como activos en el sistema en un término de 6 meses como suficiente para la gestión y su culminación.
7. Procesos prejudiciales terminados: Teniendo en cuenta que se observaron procesos prejudiciales que tenían su última actuación antes del 30 de junio de 2021 y que se terminaron en el sistema durante el segundo semestre de 2021, se recomienda a los abogados encargados fortalecer el control de las actuaciones de los prejudiciales que se ingresan al sistema eKOGUI, y gestionar los casos hasta su culminación de forma paralela a las actuaciones.</v>
      </c>
    </row>
    <row r="12" spans="1:67" x14ac:dyDescent="0.25">
      <c r="A12" s="69" t="s">
        <v>37</v>
      </c>
      <c r="B12" s="69" t="s">
        <v>15</v>
      </c>
      <c r="C12" s="72" t="s">
        <v>16</v>
      </c>
      <c r="D12" s="72" t="s">
        <v>6</v>
      </c>
      <c r="E12" s="72" t="s">
        <v>7</v>
      </c>
      <c r="F12" s="72" t="s">
        <v>17</v>
      </c>
      <c r="G12" s="72" t="s">
        <v>79</v>
      </c>
    </row>
    <row r="13" spans="1:67" x14ac:dyDescent="0.25">
      <c r="A13" s="69" t="str">
        <f t="shared" ref="A13:A18" si="0">$A$3</f>
        <v>AGENCIA DE DESARROLLO RURAL</v>
      </c>
      <c r="B13" s="69" t="s">
        <v>0</v>
      </c>
      <c r="C13" s="69" t="str">
        <f>USUARIOS!C12</f>
        <v>Si</v>
      </c>
      <c r="D13" s="71">
        <f>USUARIOS!D12</f>
        <v>43671</v>
      </c>
      <c r="E13" s="69" t="str">
        <f>USUARIOS!E12</f>
        <v>HERNANDO ALBERTO ROCHA JULIAO</v>
      </c>
      <c r="F13" s="71">
        <f>USUARIOS!F12</f>
        <v>0</v>
      </c>
      <c r="G13" s="69" t="str">
        <f>USUARIOS!G12</f>
        <v>DESACTUALIZADO</v>
      </c>
    </row>
    <row r="14" spans="1:67" x14ac:dyDescent="0.25">
      <c r="A14" s="69" t="str">
        <f t="shared" si="0"/>
        <v>AGENCIA DE DESARROLLO RURAL</v>
      </c>
      <c r="B14" s="69" t="s">
        <v>1</v>
      </c>
      <c r="C14" s="69" t="str">
        <f>USUARIOS!C13</f>
        <v>Si</v>
      </c>
      <c r="D14" s="71">
        <f>USUARIOS!D13</f>
        <v>44259</v>
      </c>
      <c r="E14" s="69" t="str">
        <f>USUARIOS!E13</f>
        <v xml:space="preserve">MARISOL OROZCO GIRALDO </v>
      </c>
      <c r="F14" s="71">
        <f>USUARIOS!F13</f>
        <v>44323</v>
      </c>
      <c r="G14" s="69" t="str">
        <f>USUARIOS!G13</f>
        <v/>
      </c>
    </row>
    <row r="15" spans="1:67" x14ac:dyDescent="0.25">
      <c r="A15" s="69" t="str">
        <f t="shared" si="0"/>
        <v>AGENCIA DE DESARROLLO RURAL</v>
      </c>
      <c r="B15" s="69" t="s">
        <v>2</v>
      </c>
      <c r="C15" s="69" t="str">
        <f>USUARIOS!C14</f>
        <v>Si</v>
      </c>
      <c r="D15" s="71">
        <f>USUARIOS!D14</f>
        <v>43671</v>
      </c>
      <c r="E15" s="69" t="str">
        <f>USUARIOS!E14</f>
        <v>LINA MARIA VELANDIA RIOS</v>
      </c>
      <c r="F15" s="71">
        <f>USUARIOS!F14</f>
        <v>0</v>
      </c>
      <c r="G15" s="69" t="str">
        <f>USUARIOS!G14</f>
        <v>DESACTUALIZADO</v>
      </c>
    </row>
    <row r="16" spans="1:67" x14ac:dyDescent="0.25">
      <c r="A16" s="69" t="str">
        <f t="shared" si="0"/>
        <v>AGENCIA DE DESARROLLO RURAL</v>
      </c>
      <c r="B16" s="69" t="s">
        <v>3</v>
      </c>
      <c r="C16" s="69" t="str">
        <f>USUARIOS!C15</f>
        <v>Si</v>
      </c>
      <c r="D16" s="71">
        <f>USUARIOS!D15</f>
        <v>44588</v>
      </c>
      <c r="E16" s="69" t="str">
        <f>USUARIOS!E15</f>
        <v>WILSON GIOVANNY PATIÑO SUAREZ</v>
      </c>
      <c r="F16" s="71">
        <f>USUARIOS!F15</f>
        <v>44370</v>
      </c>
      <c r="G16" s="69" t="str">
        <f>USUARIOS!G15</f>
        <v/>
      </c>
    </row>
    <row r="17" spans="1:7" x14ac:dyDescent="0.25">
      <c r="A17" s="69" t="str">
        <f t="shared" si="0"/>
        <v>AGENCIA DE DESARROLLO RURAL</v>
      </c>
      <c r="B17" s="69" t="s">
        <v>4</v>
      </c>
      <c r="C17" s="69" t="str">
        <f>USUARIOS!C16</f>
        <v>Si</v>
      </c>
      <c r="D17" s="71">
        <f>USUARIOS!D16</f>
        <v>44154</v>
      </c>
      <c r="E17" s="69" t="str">
        <f>USUARIOS!E16</f>
        <v>EDUARDO ALBERTO URICOHECHEA TORRES</v>
      </c>
      <c r="F17" s="71">
        <f>USUARIOS!F16</f>
        <v>44456</v>
      </c>
      <c r="G17" s="69" t="str">
        <f>USUARIOS!G16</f>
        <v/>
      </c>
    </row>
    <row r="18" spans="1:7" x14ac:dyDescent="0.25">
      <c r="A18" s="69" t="str">
        <f t="shared" si="0"/>
        <v>AGENCIA DE DESARROLLO RURAL</v>
      </c>
      <c r="B18" s="69" t="s">
        <v>5</v>
      </c>
      <c r="C18" s="69" t="str">
        <f>USUARIOS!C17</f>
        <v>Si</v>
      </c>
      <c r="D18" s="71">
        <f>USUARIOS!D17</f>
        <v>43899</v>
      </c>
      <c r="E18" s="69" t="str">
        <f>USUARIOS!E17</f>
        <v>ROSA ESTELA PADRON BARRETO</v>
      </c>
      <c r="F18" s="71">
        <f>USUARIOS!F17</f>
        <v>44463</v>
      </c>
      <c r="G18" s="69" t="str">
        <f>USUARIOS!G17</f>
        <v/>
      </c>
    </row>
  </sheetData>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Principal</vt:lpstr>
      <vt:lpstr>USUARIOS</vt:lpstr>
      <vt:lpstr>ABOGADOS</vt:lpstr>
      <vt:lpstr>JUDICIALES</vt:lpstr>
      <vt:lpstr>PREJUDICIALES</vt:lpstr>
      <vt:lpstr>ARBITRAMENTOS</vt:lpstr>
      <vt:lpstr>PAGOS</vt:lpstr>
      <vt:lpstr>Resumen General</vt:lpstr>
      <vt:lpstr>Base a pegar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Claudia Pinzon</cp:lastModifiedBy>
  <dcterms:created xsi:type="dcterms:W3CDTF">2020-06-25T21:16:25Z</dcterms:created>
  <dcterms:modified xsi:type="dcterms:W3CDTF">2022-02-27T22:15:57Z</dcterms:modified>
</cp:coreProperties>
</file>